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93B0892A-B8D2-4D31-819E-FE07D8A56A2F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設置数" sheetId="1" r:id="rId1"/>
    <sheet name="北海道地区" sheetId="3" r:id="rId2"/>
    <sheet name="東北地区" sheetId="4" r:id="rId3"/>
    <sheet name="関東・甲信越地区" sheetId="5" r:id="rId4"/>
    <sheet name="東京地区" sheetId="6" r:id="rId5"/>
    <sheet name="東海・北陸地区" sheetId="7" r:id="rId6"/>
    <sheet name="近畿・中国・四国地区" sheetId="8" r:id="rId7"/>
    <sheet name="九州地区" sheetId="9" r:id="rId8"/>
    <sheet name="Sheet1" sheetId="10" r:id="rId9"/>
    <sheet name="Sheet2" sheetId="11" r:id="rId10"/>
    <sheet name="Sheet3" sheetId="12" r:id="rId11"/>
  </sheets>
  <definedNames>
    <definedName name="_xlnm.Print_Area" localSheetId="3">関東・甲信越地区!$A$1:$L$51</definedName>
    <definedName name="_xlnm.Print_Area" localSheetId="6">近畿・中国・四国地区!$A$1:$L$51</definedName>
    <definedName name="_xlnm.Print_Area" localSheetId="7">九州地区!$A$1:$L$51</definedName>
    <definedName name="_xlnm.Print_Area" localSheetId="0">設置数!$A$1:$L$51</definedName>
    <definedName name="_xlnm.Print_Area" localSheetId="5">東海・北陸地区!$A$1:$L$51</definedName>
    <definedName name="_xlnm.Print_Area" localSheetId="4">東京地区!$A$1:$L$51</definedName>
    <definedName name="_xlnm.Print_Area" localSheetId="2">東北地区!$A$1:$L$51</definedName>
    <definedName name="_xlnm.Print_Area" localSheetId="1">北海道地区!$A$1:$L$51</definedName>
    <definedName name="_xlnm.Print_Area">設置数!$A$1:$K$29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" l="1"/>
  <c r="G49" i="1"/>
  <c r="F49" i="1"/>
  <c r="H50" i="1"/>
  <c r="J50" i="1"/>
  <c r="L50" i="1" s="1"/>
  <c r="F50" i="1"/>
  <c r="G50" i="1"/>
  <c r="F50" i="9"/>
  <c r="G50" i="9"/>
  <c r="L50" i="9"/>
  <c r="F50" i="8"/>
  <c r="H50" i="8" s="1"/>
  <c r="L50" i="8"/>
  <c r="F50" i="7"/>
  <c r="H50" i="7" s="1"/>
  <c r="L50" i="7"/>
  <c r="F49" i="7"/>
  <c r="J49" i="7"/>
  <c r="J50" i="5"/>
  <c r="F50" i="5"/>
  <c r="J50" i="6"/>
  <c r="H50" i="9" l="1"/>
  <c r="I50" i="6"/>
  <c r="F50" i="6"/>
  <c r="E50" i="6"/>
  <c r="L50" i="6"/>
  <c r="H50" i="6"/>
  <c r="L50" i="5"/>
  <c r="H50" i="5"/>
  <c r="F50" i="4"/>
  <c r="L50" i="4"/>
  <c r="H50" i="4"/>
  <c r="I50" i="3"/>
  <c r="E8" i="3"/>
  <c r="D8" i="3"/>
  <c r="I48" i="3"/>
  <c r="I49" i="3" s="1"/>
  <c r="H50" i="3"/>
  <c r="E50" i="3"/>
  <c r="E49" i="3"/>
  <c r="E48" i="3"/>
  <c r="E47" i="3"/>
  <c r="E45" i="3"/>
  <c r="D50" i="3"/>
  <c r="D49" i="3"/>
  <c r="D48" i="3"/>
  <c r="D47" i="3"/>
  <c r="L49" i="3"/>
  <c r="J49" i="3"/>
  <c r="H49" i="3"/>
  <c r="F49" i="3"/>
  <c r="L48" i="4"/>
  <c r="L47" i="4"/>
  <c r="G47" i="1"/>
  <c r="G48" i="1"/>
  <c r="J49" i="9"/>
  <c r="F49" i="9"/>
  <c r="H49" i="9" s="1"/>
  <c r="F49" i="8"/>
  <c r="H49" i="8" s="1"/>
  <c r="J49" i="8"/>
  <c r="L49" i="8"/>
  <c r="L49" i="7"/>
  <c r="H49" i="7"/>
  <c r="G49" i="6"/>
  <c r="H49" i="6" s="1"/>
  <c r="F49" i="6"/>
  <c r="L49" i="6"/>
  <c r="F49" i="5"/>
  <c r="H49" i="5" s="1"/>
  <c r="F49" i="4"/>
  <c r="H49" i="4" s="1"/>
  <c r="G49" i="4"/>
  <c r="L50" i="3"/>
  <c r="L49" i="5"/>
  <c r="L49" i="4"/>
  <c r="F47" i="4"/>
  <c r="F48" i="4"/>
  <c r="H48" i="4"/>
  <c r="L48" i="3"/>
  <c r="F48" i="3"/>
  <c r="H48" i="3" s="1"/>
  <c r="J48" i="9"/>
  <c r="L48" i="9" s="1"/>
  <c r="F48" i="9"/>
  <c r="H48" i="9" s="1"/>
  <c r="F48" i="8"/>
  <c r="H48" i="8" s="1"/>
  <c r="L48" i="8"/>
  <c r="F48" i="7"/>
  <c r="H48" i="7" s="1"/>
  <c r="L48" i="7"/>
  <c r="F48" i="6"/>
  <c r="H48" i="6" s="1"/>
  <c r="J48" i="6"/>
  <c r="L48" i="6" s="1"/>
  <c r="F48" i="5"/>
  <c r="H48" i="5" s="1"/>
  <c r="L48" i="5"/>
  <c r="L47" i="3"/>
  <c r="F47" i="3"/>
  <c r="H47" i="3" s="1"/>
  <c r="J48" i="1" l="1"/>
  <c r="L48" i="1" s="1"/>
  <c r="F48" i="1"/>
  <c r="H48" i="1" s="1"/>
  <c r="L49" i="1"/>
  <c r="L49" i="9"/>
  <c r="H47" i="4"/>
  <c r="J45" i="9"/>
  <c r="F45" i="9"/>
  <c r="H49" i="1" l="1"/>
  <c r="J47" i="9"/>
  <c r="F47" i="9"/>
  <c r="F46" i="7" l="1"/>
  <c r="L47" i="9" l="1"/>
  <c r="J47" i="8"/>
  <c r="H47" i="9"/>
  <c r="F47" i="8" l="1"/>
  <c r="H47" i="8" s="1"/>
  <c r="L47" i="8"/>
  <c r="F47" i="7" l="1"/>
  <c r="H47" i="7" s="1"/>
  <c r="L47" i="7"/>
  <c r="F47" i="6"/>
  <c r="L47" i="6"/>
  <c r="H47" i="6"/>
  <c r="J47" i="5"/>
  <c r="J47" i="1" s="1"/>
  <c r="F47" i="5"/>
  <c r="F47" i="1" s="1"/>
  <c r="H47" i="5"/>
  <c r="L47" i="5" l="1"/>
  <c r="L47" i="1"/>
  <c r="H47" i="1"/>
  <c r="L38" i="7"/>
  <c r="L30" i="7"/>
  <c r="L31" i="7"/>
  <c r="L27" i="7"/>
  <c r="L28" i="7"/>
  <c r="L25" i="7"/>
  <c r="L21" i="7"/>
  <c r="L22" i="7"/>
  <c r="L23" i="7"/>
  <c r="L18" i="7"/>
  <c r="L19" i="7"/>
  <c r="L16" i="7"/>
  <c r="H28" i="7"/>
  <c r="H37" i="7"/>
  <c r="L14" i="7"/>
  <c r="H38" i="7"/>
  <c r="H46" i="3"/>
  <c r="L42" i="3"/>
  <c r="L43" i="3"/>
  <c r="L44" i="3"/>
  <c r="L46" i="3"/>
  <c r="F46" i="9"/>
  <c r="H46" i="9" s="1"/>
  <c r="J46" i="9"/>
  <c r="L46" i="9" s="1"/>
  <c r="G46" i="1"/>
  <c r="J46" i="8"/>
  <c r="F46" i="8"/>
  <c r="H46" i="8" s="1"/>
  <c r="L46" i="7"/>
  <c r="F46" i="5"/>
  <c r="H46" i="5" s="1"/>
  <c r="F46" i="6"/>
  <c r="G46" i="6"/>
  <c r="L46" i="6"/>
  <c r="J46" i="5"/>
  <c r="L46" i="5" s="1"/>
  <c r="F46" i="4"/>
  <c r="L46" i="4"/>
  <c r="J46" i="1" l="1"/>
  <c r="L46" i="1" s="1"/>
  <c r="F46" i="1"/>
  <c r="H46" i="6"/>
  <c r="L46" i="8"/>
  <c r="H46" i="7"/>
  <c r="H46" i="4"/>
  <c r="H46" i="1" l="1"/>
  <c r="K45" i="1"/>
  <c r="F44" i="9"/>
  <c r="F45" i="8"/>
  <c r="J45" i="8"/>
  <c r="F45" i="7"/>
  <c r="H45" i="7" s="1"/>
  <c r="G45" i="6"/>
  <c r="F45" i="6"/>
  <c r="J45" i="6"/>
  <c r="J45" i="5"/>
  <c r="F45" i="5"/>
  <c r="F44" i="4"/>
  <c r="G45" i="4"/>
  <c r="G45" i="1" l="1"/>
  <c r="F45" i="4"/>
  <c r="H45" i="4" s="1"/>
  <c r="J45" i="3"/>
  <c r="F45" i="3"/>
  <c r="H45" i="3" s="1"/>
  <c r="L45" i="9"/>
  <c r="H45" i="9"/>
  <c r="L45" i="8"/>
  <c r="H45" i="8"/>
  <c r="L45" i="7"/>
  <c r="L45" i="6"/>
  <c r="H45" i="6"/>
  <c r="L45" i="5"/>
  <c r="H45" i="5"/>
  <c r="L45" i="4"/>
  <c r="J45" i="1" l="1"/>
  <c r="L45" i="1" s="1"/>
  <c r="L45" i="3"/>
  <c r="F45" i="1"/>
  <c r="H45" i="1" s="1"/>
  <c r="K44" i="1"/>
  <c r="J44" i="9" l="1"/>
  <c r="L44" i="9" s="1"/>
  <c r="J44" i="8"/>
  <c r="L44" i="8" s="1"/>
  <c r="F44" i="8"/>
  <c r="H44" i="8" s="1"/>
  <c r="F44" i="7"/>
  <c r="H44" i="7" s="1"/>
  <c r="H44" i="9"/>
  <c r="L44" i="7"/>
  <c r="G44" i="6"/>
  <c r="F44" i="6"/>
  <c r="J44" i="6"/>
  <c r="L44" i="6"/>
  <c r="F44" i="5"/>
  <c r="J44" i="5"/>
  <c r="L44" i="5" s="1"/>
  <c r="G44" i="5"/>
  <c r="G44" i="4"/>
  <c r="H44" i="4" s="1"/>
  <c r="L44" i="4"/>
  <c r="F44" i="3"/>
  <c r="H44" i="5" l="1"/>
  <c r="H44" i="6"/>
  <c r="G44" i="1"/>
  <c r="J44" i="1"/>
  <c r="F44" i="1"/>
  <c r="H44" i="3" l="1"/>
  <c r="L44" i="1" l="1"/>
  <c r="H44" i="1"/>
  <c r="K43" i="1"/>
  <c r="G43" i="9"/>
  <c r="H43" i="9" s="1"/>
  <c r="J43" i="8"/>
  <c r="L43" i="8" s="1"/>
  <c r="G43" i="8"/>
  <c r="F43" i="8"/>
  <c r="J43" i="7"/>
  <c r="L43" i="7" s="1"/>
  <c r="F43" i="7"/>
  <c r="H43" i="7" s="1"/>
  <c r="J43" i="6"/>
  <c r="L43" i="6" s="1"/>
  <c r="F43" i="6"/>
  <c r="F43" i="4"/>
  <c r="H43" i="4" s="1"/>
  <c r="L43" i="9"/>
  <c r="H43" i="5"/>
  <c r="L43" i="5"/>
  <c r="L43" i="4"/>
  <c r="H43" i="3"/>
  <c r="G43" i="1" l="1"/>
  <c r="H43" i="8"/>
  <c r="H43" i="6"/>
  <c r="J43" i="1"/>
  <c r="L43" i="1" s="1"/>
  <c r="F43" i="1"/>
  <c r="J40" i="9"/>
  <c r="H43" i="1" l="1"/>
  <c r="L41" i="9"/>
  <c r="L42" i="9"/>
  <c r="F42" i="9" l="1"/>
  <c r="B42" i="1" l="1"/>
  <c r="C42" i="1"/>
  <c r="J42" i="1"/>
  <c r="K42" i="1"/>
  <c r="B41" i="1"/>
  <c r="G42" i="8"/>
  <c r="F42" i="8"/>
  <c r="L42" i="8"/>
  <c r="H42" i="7"/>
  <c r="L42" i="7"/>
  <c r="J41" i="5"/>
  <c r="F42" i="5"/>
  <c r="F42" i="6"/>
  <c r="L42" i="6"/>
  <c r="G42" i="5"/>
  <c r="L42" i="5"/>
  <c r="G42" i="1" l="1"/>
  <c r="F42" i="1"/>
  <c r="L42" i="1"/>
  <c r="H42" i="9"/>
  <c r="H42" i="8"/>
  <c r="H42" i="6"/>
  <c r="H42" i="5"/>
  <c r="H42" i="1" l="1"/>
  <c r="H42" i="4"/>
  <c r="L42" i="4"/>
  <c r="H42" i="3"/>
  <c r="F41" i="5"/>
  <c r="H41" i="5" s="1"/>
  <c r="F39" i="9"/>
  <c r="H39" i="9" s="1"/>
  <c r="F38" i="9"/>
  <c r="F37" i="9"/>
  <c r="H37" i="9" s="1"/>
  <c r="F36" i="9"/>
  <c r="H36" i="9" s="1"/>
  <c r="L41" i="5"/>
  <c r="B40" i="1"/>
  <c r="C40" i="1"/>
  <c r="F40" i="1"/>
  <c r="G40" i="1"/>
  <c r="J40" i="1"/>
  <c r="K40" i="1"/>
  <c r="C41" i="1"/>
  <c r="K41" i="1"/>
  <c r="H41" i="9"/>
  <c r="J41" i="8"/>
  <c r="L41" i="8" s="1"/>
  <c r="F41" i="8"/>
  <c r="G41" i="8"/>
  <c r="G41" i="7"/>
  <c r="F41" i="7"/>
  <c r="H41" i="7" s="1"/>
  <c r="G41" i="6"/>
  <c r="F41" i="6"/>
  <c r="F41" i="4"/>
  <c r="H41" i="4" s="1"/>
  <c r="H40" i="3"/>
  <c r="J41" i="3"/>
  <c r="L41" i="3" s="1"/>
  <c r="F41" i="3"/>
  <c r="L41" i="7"/>
  <c r="L41" i="6"/>
  <c r="L41" i="4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34" i="1"/>
  <c r="J35" i="1"/>
  <c r="J3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3" i="1"/>
  <c r="F34" i="1"/>
  <c r="L8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3" i="9"/>
  <c r="H34" i="9"/>
  <c r="H35" i="9"/>
  <c r="H38" i="9"/>
  <c r="H40" i="9"/>
  <c r="I7" i="9"/>
  <c r="I8" i="9" s="1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3" i="8"/>
  <c r="L34" i="8"/>
  <c r="L35" i="8"/>
  <c r="L36" i="8"/>
  <c r="L37" i="8"/>
  <c r="L38" i="8"/>
  <c r="L39" i="8"/>
  <c r="L40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1" i="8"/>
  <c r="H33" i="8"/>
  <c r="H34" i="8"/>
  <c r="H35" i="8"/>
  <c r="H39" i="8"/>
  <c r="H40" i="8"/>
  <c r="I7" i="7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3" i="6"/>
  <c r="L34" i="6"/>
  <c r="L35" i="6"/>
  <c r="L39" i="6"/>
  <c r="L40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3" i="6"/>
  <c r="H34" i="6"/>
  <c r="H35" i="6"/>
  <c r="H39" i="6"/>
  <c r="H40" i="6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7" i="5"/>
  <c r="H38" i="5"/>
  <c r="H39" i="5"/>
  <c r="H40" i="5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E7" i="4"/>
  <c r="L10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8" i="3"/>
  <c r="E7" i="3"/>
  <c r="I7" i="3"/>
  <c r="I8" i="3" s="1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7" i="3"/>
  <c r="H38" i="3"/>
  <c r="H39" i="3"/>
  <c r="H7" i="3"/>
  <c r="L40" i="7"/>
  <c r="H40" i="7"/>
  <c r="C38" i="1"/>
  <c r="B38" i="1"/>
  <c r="F38" i="8"/>
  <c r="H38" i="8" s="1"/>
  <c r="F39" i="7"/>
  <c r="H39" i="7" s="1"/>
  <c r="L39" i="7"/>
  <c r="J38" i="6"/>
  <c r="J38" i="1" s="1"/>
  <c r="F38" i="6"/>
  <c r="H38" i="6" s="1"/>
  <c r="C37" i="1"/>
  <c r="B37" i="1"/>
  <c r="G37" i="8"/>
  <c r="G37" i="1" s="1"/>
  <c r="F37" i="8"/>
  <c r="L37" i="7"/>
  <c r="J37" i="6"/>
  <c r="F37" i="6"/>
  <c r="F36" i="3"/>
  <c r="C39" i="1"/>
  <c r="B39" i="1"/>
  <c r="C36" i="1"/>
  <c r="B36" i="1"/>
  <c r="F36" i="7"/>
  <c r="H36" i="7" s="1"/>
  <c r="F36" i="8"/>
  <c r="H36" i="8" s="1"/>
  <c r="J36" i="7"/>
  <c r="L36" i="7" s="1"/>
  <c r="J36" i="6"/>
  <c r="F36" i="5"/>
  <c r="H36" i="5" s="1"/>
  <c r="F36" i="6"/>
  <c r="H36" i="6" s="1"/>
  <c r="C35" i="1"/>
  <c r="B35" i="1"/>
  <c r="F35" i="7"/>
  <c r="L35" i="7"/>
  <c r="L34" i="7"/>
  <c r="C34" i="1"/>
  <c r="B34" i="1"/>
  <c r="H34" i="7"/>
  <c r="C33" i="1"/>
  <c r="L33" i="7"/>
  <c r="H33" i="7"/>
  <c r="J32" i="7"/>
  <c r="L32" i="7" s="1"/>
  <c r="F32" i="7"/>
  <c r="H32" i="7" s="1"/>
  <c r="F32" i="8"/>
  <c r="H32" i="8" s="1"/>
  <c r="J32" i="8"/>
  <c r="L32" i="8" s="1"/>
  <c r="B32" i="1"/>
  <c r="C32" i="1"/>
  <c r="B28" i="1"/>
  <c r="C28" i="1"/>
  <c r="B29" i="1"/>
  <c r="C29" i="1"/>
  <c r="B30" i="1"/>
  <c r="C30" i="1"/>
  <c r="B31" i="1"/>
  <c r="C31" i="1"/>
  <c r="F32" i="9"/>
  <c r="H32" i="9" s="1"/>
  <c r="J32" i="6"/>
  <c r="F32" i="6"/>
  <c r="H31" i="7"/>
  <c r="F30" i="8"/>
  <c r="H30" i="8" s="1"/>
  <c r="F30" i="7"/>
  <c r="H30" i="7" s="1"/>
  <c r="J12" i="9"/>
  <c r="L12" i="9" s="1"/>
  <c r="G12" i="9"/>
  <c r="F12" i="9"/>
  <c r="C12" i="9"/>
  <c r="B12" i="9"/>
  <c r="K11" i="9"/>
  <c r="J11" i="9"/>
  <c r="G11" i="9"/>
  <c r="F11" i="9"/>
  <c r="C11" i="9"/>
  <c r="B11" i="9"/>
  <c r="J10" i="9"/>
  <c r="L10" i="9" s="1"/>
  <c r="G10" i="9"/>
  <c r="F10" i="9"/>
  <c r="C10" i="9"/>
  <c r="B10" i="9"/>
  <c r="J9" i="9"/>
  <c r="L9" i="9" s="1"/>
  <c r="G9" i="9"/>
  <c r="F9" i="9"/>
  <c r="B9" i="9"/>
  <c r="G8" i="9"/>
  <c r="F8" i="9"/>
  <c r="B7" i="9"/>
  <c r="D7" i="9" s="1"/>
  <c r="B8" i="9"/>
  <c r="G7" i="9"/>
  <c r="L29" i="7"/>
  <c r="L7" i="9"/>
  <c r="K11" i="8"/>
  <c r="L11" i="8" s="1"/>
  <c r="K9" i="8"/>
  <c r="K8" i="8"/>
  <c r="K7" i="8"/>
  <c r="J12" i="8"/>
  <c r="L12" i="8" s="1"/>
  <c r="J10" i="8"/>
  <c r="L10" i="8" s="1"/>
  <c r="J9" i="8"/>
  <c r="J8" i="8"/>
  <c r="J7" i="8"/>
  <c r="G12" i="8"/>
  <c r="G11" i="8"/>
  <c r="G10" i="8"/>
  <c r="G9" i="8"/>
  <c r="G8" i="8"/>
  <c r="G7" i="8"/>
  <c r="F12" i="8"/>
  <c r="F11" i="8"/>
  <c r="F10" i="8"/>
  <c r="F9" i="8"/>
  <c r="F8" i="8"/>
  <c r="F7" i="8"/>
  <c r="C11" i="8"/>
  <c r="C10" i="8"/>
  <c r="B12" i="8"/>
  <c r="B11" i="8"/>
  <c r="B10" i="8"/>
  <c r="B9" i="8"/>
  <c r="B8" i="8"/>
  <c r="B7" i="8"/>
  <c r="D7" i="8" s="1"/>
  <c r="K10" i="7"/>
  <c r="K9" i="7"/>
  <c r="K8" i="7"/>
  <c r="J12" i="7"/>
  <c r="L12" i="7" s="1"/>
  <c r="J11" i="7"/>
  <c r="L11" i="7" s="1"/>
  <c r="J10" i="7"/>
  <c r="J9" i="7"/>
  <c r="J8" i="7"/>
  <c r="G12" i="7"/>
  <c r="G11" i="7"/>
  <c r="G10" i="7"/>
  <c r="G9" i="7"/>
  <c r="G8" i="7"/>
  <c r="G7" i="7"/>
  <c r="E7" i="7" s="1"/>
  <c r="H26" i="7"/>
  <c r="F12" i="7"/>
  <c r="F11" i="7"/>
  <c r="F10" i="7"/>
  <c r="F9" i="7"/>
  <c r="F8" i="7"/>
  <c r="C12" i="7"/>
  <c r="C10" i="7"/>
  <c r="C8" i="7"/>
  <c r="B12" i="7"/>
  <c r="B11" i="7"/>
  <c r="B10" i="7"/>
  <c r="B9" i="7"/>
  <c r="B8" i="7"/>
  <c r="B7" i="7"/>
  <c r="D7" i="7" s="1"/>
  <c r="L7" i="7"/>
  <c r="H13" i="7"/>
  <c r="L13" i="7"/>
  <c r="H14" i="7"/>
  <c r="H15" i="7"/>
  <c r="L15" i="7"/>
  <c r="H16" i="7"/>
  <c r="H17" i="7"/>
  <c r="L17" i="7"/>
  <c r="H18" i="7"/>
  <c r="H19" i="7"/>
  <c r="H20" i="7"/>
  <c r="L20" i="7"/>
  <c r="H21" i="7"/>
  <c r="H22" i="7"/>
  <c r="H23" i="7"/>
  <c r="H24" i="7"/>
  <c r="L24" i="7"/>
  <c r="H25" i="7"/>
  <c r="L26" i="7"/>
  <c r="H27" i="7"/>
  <c r="H29" i="7"/>
  <c r="K10" i="6"/>
  <c r="K9" i="6"/>
  <c r="K7" i="6"/>
  <c r="J12" i="6"/>
  <c r="L12" i="6" s="1"/>
  <c r="J11" i="6"/>
  <c r="L11" i="6" s="1"/>
  <c r="J10" i="6"/>
  <c r="J9" i="6"/>
  <c r="J8" i="6"/>
  <c r="L8" i="6" s="1"/>
  <c r="J7" i="6"/>
  <c r="J7" i="1" s="1"/>
  <c r="F12" i="6"/>
  <c r="H12" i="6" s="1"/>
  <c r="G11" i="6"/>
  <c r="G10" i="6"/>
  <c r="G9" i="6"/>
  <c r="G8" i="6"/>
  <c r="F11" i="6"/>
  <c r="F10" i="6"/>
  <c r="F9" i="6"/>
  <c r="F8" i="6"/>
  <c r="F7" i="6"/>
  <c r="E7" i="6" s="1"/>
  <c r="C9" i="6"/>
  <c r="B11" i="6"/>
  <c r="B10" i="6"/>
  <c r="B9" i="6"/>
  <c r="B8" i="6"/>
  <c r="B7" i="6"/>
  <c r="D7" i="6" s="1"/>
  <c r="K7" i="5"/>
  <c r="I7" i="5" s="1"/>
  <c r="K11" i="5"/>
  <c r="H7" i="4"/>
  <c r="K10" i="5"/>
  <c r="K9" i="5"/>
  <c r="K8" i="5"/>
  <c r="J12" i="5"/>
  <c r="L12" i="5" s="1"/>
  <c r="J11" i="5"/>
  <c r="L11" i="5" s="1"/>
  <c r="J10" i="5"/>
  <c r="J9" i="5"/>
  <c r="J8" i="5"/>
  <c r="G12" i="5"/>
  <c r="G11" i="5"/>
  <c r="G10" i="5"/>
  <c r="G9" i="5"/>
  <c r="G8" i="5"/>
  <c r="G7" i="5"/>
  <c r="H7" i="5" s="1"/>
  <c r="F12" i="5"/>
  <c r="F11" i="5"/>
  <c r="F10" i="5"/>
  <c r="F9" i="5"/>
  <c r="F8" i="5"/>
  <c r="B12" i="5"/>
  <c r="B11" i="5"/>
  <c r="B10" i="5"/>
  <c r="B9" i="5"/>
  <c r="B8" i="5"/>
  <c r="B7" i="5"/>
  <c r="D7" i="5" s="1"/>
  <c r="K10" i="4"/>
  <c r="L10" i="4" s="1"/>
  <c r="K9" i="4"/>
  <c r="K8" i="4"/>
  <c r="J11" i="4"/>
  <c r="L11" i="4" s="1"/>
  <c r="J9" i="4"/>
  <c r="G12" i="4"/>
  <c r="G11" i="4"/>
  <c r="G10" i="4"/>
  <c r="G9" i="4"/>
  <c r="G8" i="4"/>
  <c r="F11" i="4"/>
  <c r="F10" i="4"/>
  <c r="F9" i="4"/>
  <c r="F8" i="4"/>
  <c r="B11" i="4"/>
  <c r="B12" i="4"/>
  <c r="B10" i="4"/>
  <c r="B9" i="4"/>
  <c r="B8" i="4"/>
  <c r="D7" i="4"/>
  <c r="I7" i="4"/>
  <c r="L7" i="4"/>
  <c r="J12" i="3"/>
  <c r="F12" i="3"/>
  <c r="J11" i="3"/>
  <c r="F11" i="3"/>
  <c r="G10" i="3"/>
  <c r="F10" i="3"/>
  <c r="B10" i="3"/>
  <c r="J9" i="3"/>
  <c r="K9" i="3"/>
  <c r="G9" i="3"/>
  <c r="F9" i="3"/>
  <c r="B9" i="3"/>
  <c r="G8" i="3"/>
  <c r="B8" i="3"/>
  <c r="B7" i="3"/>
  <c r="D7" i="3" s="1"/>
  <c r="L7" i="3"/>
  <c r="B7" i="1"/>
  <c r="D7" i="1" s="1"/>
  <c r="B8" i="1"/>
  <c r="B9" i="1"/>
  <c r="B10" i="1"/>
  <c r="C10" i="1"/>
  <c r="B11" i="1"/>
  <c r="C11" i="1"/>
  <c r="B12" i="1"/>
  <c r="C12" i="1"/>
  <c r="D8" i="9" l="1"/>
  <c r="I9" i="3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D9" i="3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6" i="3" s="1"/>
  <c r="D9" i="9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D50" i="9" s="1"/>
  <c r="I7" i="6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L10" i="6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H10" i="8"/>
  <c r="D8" i="8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H7" i="7"/>
  <c r="H7" i="6"/>
  <c r="H11" i="6"/>
  <c r="D8" i="5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G41" i="1"/>
  <c r="H10" i="7"/>
  <c r="D8" i="6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H9" i="4"/>
  <c r="L11" i="9"/>
  <c r="H8" i="4"/>
  <c r="H12" i="7"/>
  <c r="H10" i="4"/>
  <c r="H9" i="6"/>
  <c r="H11" i="4"/>
  <c r="H10" i="6"/>
  <c r="H9" i="5"/>
  <c r="H11" i="7"/>
  <c r="L9" i="7"/>
  <c r="L9" i="6"/>
  <c r="L8" i="5"/>
  <c r="I8" i="5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L9" i="4"/>
  <c r="D8" i="4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H10" i="3"/>
  <c r="H11" i="5"/>
  <c r="D8" i="7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K11" i="1"/>
  <c r="L10" i="7"/>
  <c r="L9" i="8"/>
  <c r="H11" i="9"/>
  <c r="H41" i="6"/>
  <c r="K7" i="1"/>
  <c r="L7" i="1" s="1"/>
  <c r="E8" i="7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J41" i="1"/>
  <c r="L41" i="1" s="1"/>
  <c r="F7" i="1"/>
  <c r="H11" i="8"/>
  <c r="H9" i="9"/>
  <c r="H12" i="9"/>
  <c r="F30" i="1"/>
  <c r="H30" i="1" s="1"/>
  <c r="L7" i="5"/>
  <c r="F9" i="1"/>
  <c r="J11" i="1"/>
  <c r="I8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K10" i="1"/>
  <c r="H8" i="5"/>
  <c r="H12" i="5"/>
  <c r="L9" i="5"/>
  <c r="I8" i="7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I43" i="7" s="1"/>
  <c r="I44" i="7" s="1"/>
  <c r="L38" i="6"/>
  <c r="H41" i="8"/>
  <c r="L38" i="1"/>
  <c r="L13" i="1"/>
  <c r="L24" i="1"/>
  <c r="L20" i="1"/>
  <c r="L39" i="1"/>
  <c r="H7" i="9"/>
  <c r="E7" i="9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J37" i="1"/>
  <c r="L37" i="1" s="1"/>
  <c r="L37" i="6"/>
  <c r="G9" i="1"/>
  <c r="H9" i="3"/>
  <c r="G8" i="1"/>
  <c r="H8" i="3"/>
  <c r="K9" i="1"/>
  <c r="G10" i="1"/>
  <c r="J12" i="1"/>
  <c r="L12" i="1" s="1"/>
  <c r="L12" i="3"/>
  <c r="G11" i="1"/>
  <c r="K8" i="1"/>
  <c r="L8" i="4"/>
  <c r="H10" i="5"/>
  <c r="L7" i="6"/>
  <c r="H8" i="7"/>
  <c r="L11" i="3"/>
  <c r="E7" i="8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J36" i="1"/>
  <c r="L36" i="1" s="1"/>
  <c r="L36" i="6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F10" i="1"/>
  <c r="F12" i="1"/>
  <c r="H12" i="3"/>
  <c r="E7" i="5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G7" i="1"/>
  <c r="L10" i="5"/>
  <c r="J10" i="1"/>
  <c r="F32" i="1"/>
  <c r="H32" i="1" s="1"/>
  <c r="H32" i="6"/>
  <c r="L8" i="7"/>
  <c r="H7" i="8"/>
  <c r="H8" i="6"/>
  <c r="E8" i="6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H9" i="7"/>
  <c r="H9" i="8"/>
  <c r="L8" i="8"/>
  <c r="L7" i="8"/>
  <c r="I7" i="8"/>
  <c r="I8" i="8" s="1"/>
  <c r="I9" i="8" s="1"/>
  <c r="I10" i="8" s="1"/>
  <c r="I11" i="8" s="1"/>
  <c r="I12" i="8" s="1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I47" i="8" s="1"/>
  <c r="I9" i="9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H10" i="9"/>
  <c r="F35" i="1"/>
  <c r="H35" i="1" s="1"/>
  <c r="H35" i="7"/>
  <c r="F37" i="1"/>
  <c r="H37" i="1" s="1"/>
  <c r="H37" i="6"/>
  <c r="F39" i="1"/>
  <c r="H39" i="1" s="1"/>
  <c r="J9" i="1"/>
  <c r="F11" i="1"/>
  <c r="F8" i="1"/>
  <c r="G12" i="1"/>
  <c r="J8" i="1"/>
  <c r="H8" i="8"/>
  <c r="H12" i="8"/>
  <c r="J32" i="1"/>
  <c r="L32" i="1" s="1"/>
  <c r="L32" i="6"/>
  <c r="F38" i="1"/>
  <c r="H38" i="1" s="1"/>
  <c r="H11" i="3"/>
  <c r="L9" i="3"/>
  <c r="H12" i="4"/>
  <c r="H41" i="3"/>
  <c r="F41" i="1"/>
  <c r="H8" i="9"/>
  <c r="F36" i="1"/>
  <c r="H36" i="1" s="1"/>
  <c r="H37" i="8"/>
  <c r="H36" i="3"/>
  <c r="H23" i="1"/>
  <c r="H16" i="1"/>
  <c r="H31" i="1"/>
  <c r="H34" i="1"/>
  <c r="H13" i="1"/>
  <c r="H40" i="1"/>
  <c r="H27" i="1"/>
  <c r="H19" i="1"/>
  <c r="H15" i="1"/>
  <c r="H25" i="1"/>
  <c r="H21" i="1"/>
  <c r="H17" i="1"/>
  <c r="H28" i="1"/>
  <c r="H24" i="1"/>
  <c r="L25" i="1"/>
  <c r="L21" i="1"/>
  <c r="L17" i="1"/>
  <c r="L34" i="1"/>
  <c r="L22" i="1"/>
  <c r="L18" i="1"/>
  <c r="L40" i="1"/>
  <c r="H26" i="1"/>
  <c r="H22" i="1"/>
  <c r="H18" i="1"/>
  <c r="H29" i="1"/>
  <c r="L35" i="1"/>
  <c r="H14" i="1"/>
  <c r="H20" i="1"/>
  <c r="H33" i="1"/>
  <c r="L30" i="1"/>
  <c r="L26" i="1"/>
  <c r="L23" i="1"/>
  <c r="L19" i="1"/>
  <c r="L15" i="1"/>
  <c r="L28" i="1"/>
  <c r="L16" i="1"/>
  <c r="L33" i="1"/>
  <c r="L29" i="1"/>
  <c r="L14" i="1"/>
  <c r="L31" i="1"/>
  <c r="L27" i="1"/>
  <c r="I48" i="6" l="1"/>
  <c r="I49" i="6" s="1"/>
  <c r="I48" i="5"/>
  <c r="I49" i="5" s="1"/>
  <c r="I50" i="5" s="1"/>
  <c r="I47" i="3"/>
  <c r="I48" i="8"/>
  <c r="I49" i="8" s="1"/>
  <c r="I50" i="8" s="1"/>
  <c r="I45" i="7"/>
  <c r="I46" i="7" s="1"/>
  <c r="I47" i="7" s="1"/>
  <c r="I46" i="4"/>
  <c r="I47" i="4" s="1"/>
  <c r="I48" i="4" s="1"/>
  <c r="I49" i="4" s="1"/>
  <c r="I50" i="4" s="1"/>
  <c r="D46" i="4"/>
  <c r="D47" i="4" s="1"/>
  <c r="D48" i="4" s="1"/>
  <c r="D49" i="4" s="1"/>
  <c r="D50" i="4" s="1"/>
  <c r="H11" i="1"/>
  <c r="H41" i="1"/>
  <c r="L10" i="1"/>
  <c r="E45" i="9"/>
  <c r="E46" i="9" s="1"/>
  <c r="E47" i="9" s="1"/>
  <c r="H9" i="1"/>
  <c r="L11" i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N32" i="9"/>
  <c r="H8" i="1"/>
  <c r="H12" i="1"/>
  <c r="H10" i="1"/>
  <c r="H7" i="1"/>
  <c r="E33" i="8"/>
  <c r="N32" i="8"/>
  <c r="N32" i="7"/>
  <c r="L8" i="1"/>
  <c r="L9" i="1"/>
  <c r="N31" i="4"/>
  <c r="E32" i="4"/>
  <c r="E32" i="5"/>
  <c r="N31" i="5"/>
  <c r="E34" i="7"/>
  <c r="N33" i="7"/>
  <c r="E31" i="6"/>
  <c r="N30" i="6"/>
  <c r="N31" i="3"/>
  <c r="I34" i="9"/>
  <c r="N33" i="9"/>
  <c r="N49" i="3" l="1"/>
  <c r="N50" i="3"/>
  <c r="E48" i="9"/>
  <c r="E49" i="9" s="1"/>
  <c r="I48" i="7"/>
  <c r="I49" i="7" s="1"/>
  <c r="I50" i="7" s="1"/>
  <c r="N32" i="1"/>
  <c r="N33" i="1"/>
  <c r="N32" i="3"/>
  <c r="E33" i="4"/>
  <c r="N32" i="4"/>
  <c r="E35" i="7"/>
  <c r="N34" i="7"/>
  <c r="E32" i="6"/>
  <c r="N31" i="6"/>
  <c r="E34" i="8"/>
  <c r="N33" i="8"/>
  <c r="E33" i="5"/>
  <c r="N32" i="5"/>
  <c r="N34" i="9"/>
  <c r="I35" i="9"/>
  <c r="E34" i="1"/>
  <c r="N34" i="1" s="1"/>
  <c r="E50" i="9" l="1"/>
  <c r="N48" i="3"/>
  <c r="E33" i="6"/>
  <c r="N32" i="6"/>
  <c r="E34" i="5"/>
  <c r="N33" i="5"/>
  <c r="E34" i="4"/>
  <c r="N33" i="4"/>
  <c r="E35" i="8"/>
  <c r="N34" i="8"/>
  <c r="E36" i="7"/>
  <c r="N35" i="7"/>
  <c r="N33" i="3"/>
  <c r="I36" i="9"/>
  <c r="N35" i="9"/>
  <c r="E35" i="1"/>
  <c r="E36" i="1" s="1"/>
  <c r="N34" i="3" l="1"/>
  <c r="E35" i="5"/>
  <c r="N34" i="5"/>
  <c r="E36" i="8"/>
  <c r="N35" i="8"/>
  <c r="E37" i="7"/>
  <c r="N36" i="7"/>
  <c r="E35" i="4"/>
  <c r="N34" i="4"/>
  <c r="N33" i="6"/>
  <c r="E34" i="6"/>
  <c r="N36" i="9"/>
  <c r="I37" i="9"/>
  <c r="N35" i="1"/>
  <c r="E37" i="1"/>
  <c r="N36" i="1"/>
  <c r="E35" i="6" l="1"/>
  <c r="N34" i="6"/>
  <c r="E36" i="5"/>
  <c r="N35" i="5"/>
  <c r="E38" i="7"/>
  <c r="N37" i="7"/>
  <c r="E36" i="4"/>
  <c r="N35" i="4"/>
  <c r="E37" i="8"/>
  <c r="N36" i="8"/>
  <c r="N35" i="3"/>
  <c r="I38" i="9"/>
  <c r="N37" i="9"/>
  <c r="N37" i="1"/>
  <c r="E38" i="1"/>
  <c r="E39" i="1" s="1"/>
  <c r="N39" i="1" s="1"/>
  <c r="E37" i="4" l="1"/>
  <c r="N36" i="4"/>
  <c r="N36" i="5"/>
  <c r="E37" i="5"/>
  <c r="N36" i="3"/>
  <c r="E38" i="8"/>
  <c r="N37" i="8"/>
  <c r="N38" i="7"/>
  <c r="E39" i="7"/>
  <c r="E36" i="6"/>
  <c r="N35" i="6"/>
  <c r="N38" i="9"/>
  <c r="I39" i="9"/>
  <c r="N38" i="1"/>
  <c r="E37" i="6" l="1"/>
  <c r="N36" i="6"/>
  <c r="E39" i="8"/>
  <c r="N38" i="8"/>
  <c r="E40" i="7"/>
  <c r="N39" i="7"/>
  <c r="E38" i="5"/>
  <c r="N37" i="5"/>
  <c r="N37" i="3"/>
  <c r="N37" i="4"/>
  <c r="E38" i="4"/>
  <c r="N39" i="9"/>
  <c r="I40" i="9"/>
  <c r="E40" i="1"/>
  <c r="E39" i="4" l="1"/>
  <c r="N38" i="4"/>
  <c r="E40" i="8"/>
  <c r="N39" i="8"/>
  <c r="E39" i="5"/>
  <c r="N38" i="5"/>
  <c r="N38" i="3"/>
  <c r="N40" i="7"/>
  <c r="E41" i="7"/>
  <c r="E38" i="6"/>
  <c r="N37" i="6"/>
  <c r="N40" i="9"/>
  <c r="I41" i="9"/>
  <c r="E41" i="1"/>
  <c r="E42" i="1" s="1"/>
  <c r="E43" i="1" s="1"/>
  <c r="N40" i="1"/>
  <c r="E44" i="1" l="1"/>
  <c r="E45" i="1" s="1"/>
  <c r="E46" i="1" s="1"/>
  <c r="E47" i="1" s="1"/>
  <c r="E48" i="1" s="1"/>
  <c r="E49" i="1" s="1"/>
  <c r="E50" i="1" s="1"/>
  <c r="N42" i="1"/>
  <c r="N43" i="1"/>
  <c r="N39" i="3"/>
  <c r="N40" i="8"/>
  <c r="E41" i="8"/>
  <c r="E39" i="6"/>
  <c r="N38" i="6"/>
  <c r="E42" i="7"/>
  <c r="N41" i="7"/>
  <c r="E40" i="5"/>
  <c r="N39" i="5"/>
  <c r="E40" i="4"/>
  <c r="N39" i="4"/>
  <c r="N41" i="9"/>
  <c r="I42" i="9"/>
  <c r="N41" i="1"/>
  <c r="N49" i="1" l="1"/>
  <c r="N50" i="1"/>
  <c r="N47" i="1"/>
  <c r="N48" i="1"/>
  <c r="N44" i="1"/>
  <c r="N45" i="1"/>
  <c r="N42" i="9"/>
  <c r="I43" i="9"/>
  <c r="N42" i="7"/>
  <c r="E43" i="7"/>
  <c r="E42" i="8"/>
  <c r="N41" i="8"/>
  <c r="E41" i="4"/>
  <c r="N40" i="4"/>
  <c r="N40" i="3"/>
  <c r="N40" i="5"/>
  <c r="E41" i="5"/>
  <c r="E40" i="6"/>
  <c r="N39" i="6"/>
  <c r="N43" i="9" l="1"/>
  <c r="I44" i="9"/>
  <c r="N43" i="7"/>
  <c r="E44" i="7"/>
  <c r="N42" i="8"/>
  <c r="E43" i="8"/>
  <c r="E42" i="5"/>
  <c r="N41" i="5"/>
  <c r="E42" i="4"/>
  <c r="N41" i="4"/>
  <c r="N41" i="3"/>
  <c r="N40" i="6"/>
  <c r="E41" i="6"/>
  <c r="I45" i="9" l="1"/>
  <c r="I46" i="9" s="1"/>
  <c r="N44" i="9"/>
  <c r="N43" i="8"/>
  <c r="E44" i="8"/>
  <c r="N44" i="7"/>
  <c r="E45" i="7"/>
  <c r="N42" i="3"/>
  <c r="N42" i="5"/>
  <c r="E43" i="5"/>
  <c r="N42" i="4"/>
  <c r="E43" i="4"/>
  <c r="E42" i="6"/>
  <c r="N41" i="6"/>
  <c r="N46" i="9" l="1"/>
  <c r="I47" i="9"/>
  <c r="N45" i="7"/>
  <c r="E46" i="7"/>
  <c r="N45" i="9"/>
  <c r="N46" i="1"/>
  <c r="E45" i="8"/>
  <c r="N44" i="8"/>
  <c r="N43" i="5"/>
  <c r="E44" i="5"/>
  <c r="N43" i="4"/>
  <c r="E44" i="4"/>
  <c r="N43" i="3"/>
  <c r="N42" i="6"/>
  <c r="E43" i="6"/>
  <c r="N47" i="9" l="1"/>
  <c r="I48" i="9"/>
  <c r="N46" i="7"/>
  <c r="E47" i="7"/>
  <c r="N45" i="8"/>
  <c r="E46" i="8"/>
  <c r="N43" i="6"/>
  <c r="E44" i="6"/>
  <c r="E45" i="5"/>
  <c r="N44" i="5"/>
  <c r="N44" i="4"/>
  <c r="E45" i="4"/>
  <c r="N44" i="3"/>
  <c r="N48" i="9" l="1"/>
  <c r="I49" i="9"/>
  <c r="N47" i="7"/>
  <c r="E48" i="7"/>
  <c r="E46" i="4"/>
  <c r="E47" i="4" s="1"/>
  <c r="E48" i="4" s="1"/>
  <c r="E49" i="4" s="1"/>
  <c r="N47" i="3"/>
  <c r="N46" i="8"/>
  <c r="E47" i="8"/>
  <c r="N45" i="5"/>
  <c r="E46" i="5"/>
  <c r="E47" i="5" s="1"/>
  <c r="E48" i="5" s="1"/>
  <c r="E49" i="5" s="1"/>
  <c r="N45" i="4"/>
  <c r="N45" i="3"/>
  <c r="N44" i="6"/>
  <c r="E45" i="6"/>
  <c r="I50" i="9" l="1"/>
  <c r="N50" i="9" s="1"/>
  <c r="N49" i="9"/>
  <c r="N48" i="7"/>
  <c r="E49" i="7"/>
  <c r="N49" i="5"/>
  <c r="E50" i="5"/>
  <c r="N50" i="5" s="1"/>
  <c r="E50" i="4"/>
  <c r="N50" i="4" s="1"/>
  <c r="N49" i="4"/>
  <c r="E48" i="8"/>
  <c r="N47" i="8"/>
  <c r="N46" i="5"/>
  <c r="N46" i="4"/>
  <c r="N46" i="3"/>
  <c r="N45" i="6"/>
  <c r="E46" i="6"/>
  <c r="E47" i="6" s="1"/>
  <c r="E48" i="6" s="1"/>
  <c r="E49" i="6" s="1"/>
  <c r="N48" i="8" l="1"/>
  <c r="E49" i="8"/>
  <c r="N49" i="7"/>
  <c r="E50" i="7"/>
  <c r="N50" i="7" s="1"/>
  <c r="N49" i="6"/>
  <c r="N50" i="6"/>
  <c r="N48" i="4"/>
  <c r="N48" i="5"/>
  <c r="N47" i="5"/>
  <c r="N47" i="4"/>
  <c r="N46" i="6"/>
  <c r="E50" i="8" l="1"/>
  <c r="N50" i="8" s="1"/>
  <c r="N49" i="8"/>
  <c r="N48" i="6"/>
  <c r="N47" i="6"/>
</calcChain>
</file>

<file path=xl/sharedStrings.xml><?xml version="1.0" encoding="utf-8"?>
<sst xmlns="http://schemas.openxmlformats.org/spreadsheetml/2006/main" count="231" uniqueCount="42">
  <si>
    <t>学校数</t>
    <rPh sb="0" eb="3">
      <t>ガッコウスウ</t>
    </rPh>
    <phoneticPr fontId="2"/>
  </si>
  <si>
    <t>入学定員数</t>
    <rPh sb="0" eb="2">
      <t>ニュウガク</t>
    </rPh>
    <rPh sb="2" eb="5">
      <t>テイインスウ</t>
    </rPh>
    <phoneticPr fontId="2"/>
  </si>
  <si>
    <t>増減</t>
    <rPh sb="0" eb="2">
      <t>ゾウゲン</t>
    </rPh>
    <phoneticPr fontId="2"/>
  </si>
  <si>
    <t>昼</t>
    <rPh sb="0" eb="1">
      <t>ヒル</t>
    </rPh>
    <phoneticPr fontId="2"/>
  </si>
  <si>
    <t>夜</t>
    <rPh sb="0" eb="1">
      <t>ヨル</t>
    </rPh>
    <phoneticPr fontId="2"/>
  </si>
  <si>
    <t>既設</t>
    <rPh sb="0" eb="2">
      <t>キセツ</t>
    </rPh>
    <phoneticPr fontId="2"/>
  </si>
  <si>
    <t>新設</t>
    <rPh sb="0" eb="2">
      <t>シンセツ</t>
    </rPh>
    <phoneticPr fontId="2"/>
  </si>
  <si>
    <t>合計</t>
    <rPh sb="0" eb="2">
      <t>ゴウケイ</t>
    </rPh>
    <phoneticPr fontId="2"/>
  </si>
  <si>
    <t>＜北海道地区＞</t>
    <rPh sb="1" eb="4">
      <t>ホッカイドウ</t>
    </rPh>
    <rPh sb="4" eb="6">
      <t>チク</t>
    </rPh>
    <phoneticPr fontId="2"/>
  </si>
  <si>
    <t>＜東北地区＞</t>
    <rPh sb="1" eb="3">
      <t>トウホク</t>
    </rPh>
    <rPh sb="3" eb="5">
      <t>チク</t>
    </rPh>
    <phoneticPr fontId="2"/>
  </si>
  <si>
    <t>＜東京地区＞</t>
    <rPh sb="1" eb="3">
      <t>トウキョウ</t>
    </rPh>
    <rPh sb="3" eb="5">
      <t>チク</t>
    </rPh>
    <phoneticPr fontId="2"/>
  </si>
  <si>
    <t>年度</t>
    <rPh sb="0" eb="1">
      <t>ネン</t>
    </rPh>
    <rPh sb="1" eb="2">
      <t>ド</t>
    </rPh>
    <phoneticPr fontId="2"/>
  </si>
  <si>
    <t>指定数</t>
    <rPh sb="0" eb="2">
      <t>シテイ</t>
    </rPh>
    <rPh sb="2" eb="3">
      <t>スウ</t>
    </rPh>
    <phoneticPr fontId="2"/>
  </si>
  <si>
    <t>廃止数</t>
    <rPh sb="0" eb="2">
      <t>ハイシ</t>
    </rPh>
    <rPh sb="2" eb="3">
      <t>スウ</t>
    </rPh>
    <phoneticPr fontId="2"/>
  </si>
  <si>
    <t>累計</t>
    <rPh sb="0" eb="2">
      <t>ルイケイ</t>
    </rPh>
    <phoneticPr fontId="2"/>
  </si>
  <si>
    <t>34～37</t>
    <phoneticPr fontId="2"/>
  </si>
  <si>
    <t>38～42</t>
    <phoneticPr fontId="2"/>
  </si>
  <si>
    <t>43～47</t>
    <phoneticPr fontId="2"/>
  </si>
  <si>
    <t>48～52</t>
    <phoneticPr fontId="2"/>
  </si>
  <si>
    <t>53～57</t>
    <phoneticPr fontId="2"/>
  </si>
  <si>
    <t>58～62</t>
    <phoneticPr fontId="2"/>
  </si>
  <si>
    <t>注) ( )はマイナスの数値を示す。</t>
    <rPh sb="0" eb="1">
      <t>チュウ</t>
    </rPh>
    <rPh sb="12" eb="14">
      <t>スウチ</t>
    </rPh>
    <rPh sb="15" eb="16">
      <t>シメ</t>
    </rPh>
    <phoneticPr fontId="2"/>
  </si>
  <si>
    <t>年度</t>
    <rPh sb="0" eb="2">
      <t>ネンド</t>
    </rPh>
    <phoneticPr fontId="2"/>
  </si>
  <si>
    <t>58～62</t>
    <phoneticPr fontId="2"/>
  </si>
  <si>
    <t>資料）公益社団法人 全国調理師養成施設協会</t>
    <rPh sb="0" eb="2">
      <t>シリョウ</t>
    </rPh>
    <rPh sb="3" eb="5">
      <t>コウエキ</t>
    </rPh>
    <rPh sb="5" eb="9">
      <t>シャダンホウジン</t>
    </rPh>
    <rPh sb="10" eb="12">
      <t>ゼンコク</t>
    </rPh>
    <rPh sb="12" eb="15">
      <t>チョウリシ</t>
    </rPh>
    <rPh sb="15" eb="17">
      <t>ヨウセイ</t>
    </rPh>
    <rPh sb="17" eb="19">
      <t>シセツ</t>
    </rPh>
    <rPh sb="19" eb="21">
      <t>キョウカイ</t>
    </rPh>
    <phoneticPr fontId="2"/>
  </si>
  <si>
    <t>第１－５表　年度別養成施設設置数・入学定員数(昼・夜別)</t>
    <rPh sb="0" eb="1">
      <t>ダイ</t>
    </rPh>
    <rPh sb="4" eb="5">
      <t>ヒョウ</t>
    </rPh>
    <rPh sb="6" eb="9">
      <t>ネンドベツ</t>
    </rPh>
    <rPh sb="9" eb="11">
      <t>ヨウセイ</t>
    </rPh>
    <rPh sb="11" eb="13">
      <t>シセツ</t>
    </rPh>
    <rPh sb="13" eb="16">
      <t>セッチスウ</t>
    </rPh>
    <rPh sb="17" eb="19">
      <t>ニュウガク</t>
    </rPh>
    <rPh sb="19" eb="22">
      <t>テイインスウ</t>
    </rPh>
    <rPh sb="23" eb="24">
      <t>ヒル</t>
    </rPh>
    <rPh sb="25" eb="26">
      <t>ヨル</t>
    </rPh>
    <rPh sb="26" eb="27">
      <t>ベツ</t>
    </rPh>
    <phoneticPr fontId="2"/>
  </si>
  <si>
    <t>＜九州地区＞</t>
    <rPh sb="1" eb="3">
      <t>キュウシュウ</t>
    </rPh>
    <rPh sb="3" eb="5">
      <t>チク</t>
    </rPh>
    <rPh sb="4" eb="5">
      <t>リクチ</t>
    </rPh>
    <phoneticPr fontId="2"/>
  </si>
  <si>
    <t>資料) 公益社団法人 全国調理師養成施設協会</t>
    <rPh sb="0" eb="2">
      <t>シリョウ</t>
    </rPh>
    <rPh sb="4" eb="6">
      <t>コウエキ</t>
    </rPh>
    <rPh sb="6" eb="10">
      <t>シャダンホウジン</t>
    </rPh>
    <rPh sb="11" eb="13">
      <t>ゼンコク</t>
    </rPh>
    <rPh sb="13" eb="16">
      <t>チョウリシ</t>
    </rPh>
    <rPh sb="16" eb="18">
      <t>ヨウセイ</t>
    </rPh>
    <rPh sb="18" eb="20">
      <t>シセツ</t>
    </rPh>
    <rPh sb="20" eb="22">
      <t>キョウカイ</t>
    </rPh>
    <phoneticPr fontId="2"/>
  </si>
  <si>
    <t>＜関東甲信越地区＞</t>
    <rPh sb="1" eb="3">
      <t>カントウ</t>
    </rPh>
    <rPh sb="3" eb="6">
      <t>コウシンエツ</t>
    </rPh>
    <rPh sb="6" eb="8">
      <t>チク</t>
    </rPh>
    <phoneticPr fontId="2"/>
  </si>
  <si>
    <t>＜東海北陸地区＞</t>
    <rPh sb="1" eb="3">
      <t>トウカイ</t>
    </rPh>
    <rPh sb="3" eb="5">
      <t>ホクリク</t>
    </rPh>
    <rPh sb="5" eb="7">
      <t>チク</t>
    </rPh>
    <phoneticPr fontId="2"/>
  </si>
  <si>
    <t>＜近畿中国四国地区＞</t>
    <rPh sb="1" eb="3">
      <t>キンキ</t>
    </rPh>
    <rPh sb="3" eb="5">
      <t>チュウゴク</t>
    </rPh>
    <rPh sb="5" eb="7">
      <t>シコク</t>
    </rPh>
    <rPh sb="7" eb="9">
      <t>チク</t>
    </rPh>
    <rPh sb="8" eb="9">
      <t>リクチ</t>
    </rPh>
    <phoneticPr fontId="2"/>
  </si>
  <si>
    <t>第１－６－１表　地区別・年度別養成施設設置数・入学定員数(昼・夜別)</t>
    <rPh sb="0" eb="1">
      <t>ダイ</t>
    </rPh>
    <rPh sb="6" eb="7">
      <t>ヒョウ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</si>
  <si>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第１－６－２表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</si>
  <si>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第１－６－３表　地区別・年度別養成施設設置数・入学定員数(昼・夜別)</t>
    <rPh sb="0" eb="1">
      <t>ダイ</t>
    </rPh>
    <rPh sb="6" eb="7">
      <t>ヒョウ</t>
    </rPh>
    <rPh sb="8" eb="10">
      <t>チク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</si>
  <si>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第１－６－４表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</si>
  <si>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第１－６－５表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</si>
  <si>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第１－６－６表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</si>
  <si>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第１－６－７表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</si>
  <si>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平成元</t>
    <rPh sb="0" eb="2">
      <t>ヘイセイ</t>
    </rPh>
    <rPh sb="2" eb="3">
      <t>モト</t>
    </rPh>
    <phoneticPr fontId="2"/>
  </si>
  <si>
    <t>令和2</t>
    <rPh sb="0" eb="1">
      <t>レイ</t>
    </rPh>
    <rPh sb="1" eb="2">
      <t>ワ</t>
    </rPh>
    <phoneticPr fontId="2"/>
  </si>
  <si>
    <t>昭和34年度～令和７年度</t>
    <rPh sb="7" eb="8">
      <t>レイ</t>
    </rPh>
    <rPh sb="8" eb="9">
      <t>ワ</t>
    </rPh>
    <phoneticPr fontId="2"/>
  </si>
  <si>
    <t>昭和34年度～令和７年度</t>
    <rPh sb="0" eb="2">
      <t>ショウワ</t>
    </rPh>
    <rPh sb="4" eb="5">
      <t>ネン</t>
    </rPh>
    <rPh sb="5" eb="6">
      <t>ド</t>
    </rPh>
    <rPh sb="7" eb="8">
      <t>レイ</t>
    </rPh>
    <rPh sb="8" eb="9">
      <t>ワ</t>
    </rPh>
    <rPh sb="10" eb="12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</si>
</sst>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;&quot;▲ &quot;#,##0"/>
    <numFmt numFmtId="178" formatCode="#,##0_);\(#,##0\)"/>
  </numFmts>
  <fonts count="5" x14ac:knownFonts="1">
    <font>
      <sz val="12"/>
      <name val="Arial"/>
      <family val="2"/>
    </font>
    <font>
      <sz val="10"/>
      <name val="ＭＳ 明朝"/>
      <family val="1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right" vertical="center"/>
    </xf>
    <xf numFmtId="178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1" fillId="2" borderId="10" xfId="0" applyFont="1" applyFill="1" applyBorder="1" applyAlignment="1">
      <alignment horizontal="distributed" vertical="center" justifyLastLine="1"/>
    </xf>
    <xf numFmtId="178" fontId="1" fillId="0" borderId="9" xfId="0" applyNumberFormat="1" applyFont="1" applyBorder="1" applyAlignment="1">
      <alignment horizontal="right" vertical="center"/>
    </xf>
    <xf numFmtId="178" fontId="1" fillId="0" borderId="10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vertical="center"/>
    </xf>
    <xf numFmtId="178" fontId="1" fillId="0" borderId="12" xfId="0" applyNumberFormat="1" applyFont="1" applyBorder="1" applyAlignment="1">
      <alignment horizontal="right" vertical="center"/>
    </xf>
    <xf numFmtId="178" fontId="1" fillId="0" borderId="13" xfId="0" applyNumberFormat="1" applyFont="1" applyBorder="1" applyAlignment="1">
      <alignment horizontal="right" vertical="center"/>
    </xf>
    <xf numFmtId="178" fontId="1" fillId="0" borderId="14" xfId="0" applyNumberFormat="1" applyFont="1" applyBorder="1" applyAlignment="1">
      <alignment horizontal="right" vertical="center"/>
    </xf>
    <xf numFmtId="178" fontId="1" fillId="0" borderId="15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3" fontId="1" fillId="2" borderId="6" xfId="0" applyNumberFormat="1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left" vertical="center"/>
    </xf>
    <xf numFmtId="0" fontId="1" fillId="2" borderId="9" xfId="0" applyFont="1" applyFill="1" applyBorder="1" applyAlignment="1">
      <alignment horizontal="distributed" vertical="center" justifyLastLine="1"/>
    </xf>
    <xf numFmtId="3" fontId="1" fillId="2" borderId="9" xfId="0" applyNumberFormat="1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center"/>
    </xf>
    <xf numFmtId="178" fontId="1" fillId="0" borderId="9" xfId="0" applyNumberFormat="1" applyFont="1" applyBorder="1" applyAlignment="1">
      <alignment vertical="center"/>
    </xf>
    <xf numFmtId="178" fontId="1" fillId="0" borderId="10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8" fontId="1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" fillId="0" borderId="5" xfId="0" applyNumberFormat="1" applyFont="1" applyBorder="1" applyAlignment="1">
      <alignment vertical="center"/>
    </xf>
    <xf numFmtId="178" fontId="1" fillId="0" borderId="22" xfId="0" applyNumberFormat="1" applyFont="1" applyBorder="1" applyAlignment="1">
      <alignment vertical="center"/>
    </xf>
    <xf numFmtId="176" fontId="1" fillId="0" borderId="0" xfId="0" applyNumberFormat="1" applyFont="1" applyAlignment="1">
      <alignment horizontal="centerContinuous" vertical="center"/>
    </xf>
    <xf numFmtId="176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0" fontId="1" fillId="2" borderId="16" xfId="0" applyFont="1" applyFill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2" borderId="17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right" vertical="center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center"/>
    </xf>
    <xf numFmtId="0" fontId="1" fillId="2" borderId="18" xfId="0" applyFont="1" applyFill="1" applyBorder="1" applyAlignment="1">
      <alignment horizontal="distributed" vertical="center" justifyLastLine="1"/>
    </xf>
    <xf numFmtId="0" fontId="1" fillId="2" borderId="1" xfId="0" applyFont="1" applyFill="1" applyBorder="1" applyAlignment="1">
      <alignment horizontal="distributed" vertical="center" justifyLastLine="1"/>
    </xf>
    <xf numFmtId="0" fontId="1" fillId="2" borderId="19" xfId="0" applyFont="1" applyFill="1" applyBorder="1" applyAlignment="1">
      <alignment horizontal="distributed" vertical="center" justifyLastLine="1"/>
    </xf>
    <xf numFmtId="3" fontId="1" fillId="2" borderId="6" xfId="0" applyNumberFormat="1" applyFont="1" applyFill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" fillId="2" borderId="20" xfId="0" applyFont="1" applyFill="1" applyBorder="1" applyAlignment="1">
      <alignment horizontal="distributed" vertical="center" justifyLastLine="1"/>
    </xf>
    <xf numFmtId="0" fontId="1" fillId="2" borderId="21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3" fontId="1" fillId="2" borderId="9" xfId="0" applyNumberFormat="1" applyFont="1" applyFill="1" applyBorder="1" applyAlignment="1">
      <alignment horizontal="distributed" vertical="center" justifyLastLine="1"/>
    </xf>
    <xf numFmtId="0" fontId="1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activeCell="B50" sqref="B50"/>
    </sheetView>
  </sheetViews>
  <sheetFormatPr defaultColWidth="10.69140625" defaultRowHeight="18.75" customHeight="1" x14ac:dyDescent="0.35"/>
  <cols>
    <col min="1" max="1" width="6.69140625" style="1" customWidth="1"/>
    <col min="2" max="4" width="5.84375" style="30" customWidth="1"/>
    <col min="5" max="5" width="6.69140625" style="30" customWidth="1"/>
    <col min="6" max="6" width="6" style="30" customWidth="1"/>
    <col min="7" max="7" width="5.84375" style="30" customWidth="1"/>
    <col min="8" max="8" width="6" style="30" customWidth="1"/>
    <col min="9" max="9" width="5.84375" style="30" customWidth="1"/>
    <col min="10" max="10" width="6" style="30" customWidth="1"/>
    <col min="11" max="11" width="5.84375" style="30" customWidth="1"/>
    <col min="12" max="12" width="6" style="30" customWidth="1"/>
    <col min="13" max="16384" width="10.69140625" style="30"/>
  </cols>
  <sheetData>
    <row r="1" spans="1:13" ht="27.75" customHeight="1" x14ac:dyDescent="0.35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3" ht="18.7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ht="18.5" customHeight="1" x14ac:dyDescent="0.35">
      <c r="D3" s="7"/>
      <c r="F3" s="7"/>
      <c r="G3" s="7"/>
      <c r="H3" s="40" t="s">
        <v>40</v>
      </c>
      <c r="I3" s="40"/>
      <c r="J3" s="40"/>
      <c r="K3" s="40"/>
      <c r="L3" s="40"/>
    </row>
    <row r="4" spans="1:13" ht="18.75" customHeight="1" x14ac:dyDescent="0.35">
      <c r="A4" s="46" t="s">
        <v>11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3" ht="18.75" customHeight="1" x14ac:dyDescent="0.35">
      <c r="A5" s="47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3" ht="18.75" customHeight="1" x14ac:dyDescent="0.35">
      <c r="A6" s="48"/>
      <c r="B6" s="43"/>
      <c r="C6" s="43"/>
      <c r="D6" s="43"/>
      <c r="E6" s="43"/>
      <c r="F6" s="20" t="s">
        <v>5</v>
      </c>
      <c r="G6" s="20" t="s">
        <v>6</v>
      </c>
      <c r="H6" s="18" t="s">
        <v>7</v>
      </c>
      <c r="I6" s="49"/>
      <c r="J6" s="20" t="s">
        <v>5</v>
      </c>
      <c r="K6" s="20" t="s">
        <v>6</v>
      </c>
      <c r="L6" s="19" t="s">
        <v>7</v>
      </c>
    </row>
    <row r="7" spans="1:13" ht="15" customHeight="1" x14ac:dyDescent="0.35">
      <c r="A7" s="16" t="s">
        <v>15</v>
      </c>
      <c r="B7" s="9">
        <f>17+6+2+5</f>
        <v>30</v>
      </c>
      <c r="C7" s="9">
        <v>1</v>
      </c>
      <c r="D7" s="9">
        <f>B7-C7</f>
        <v>29</v>
      </c>
      <c r="E7" s="9">
        <f>F7+G7</f>
        <v>2140</v>
      </c>
      <c r="F7" s="9">
        <f>北海道地区!F7+東北地区!F7+関東・甲信越地区!F7+東京地区!F7+東海・北陸地区!F7+近畿・中国・四国地区!F7+九州地区!F7</f>
        <v>275</v>
      </c>
      <c r="G7" s="9">
        <f>北海道地区!G7+東北地区!G7+関東・甲信越地区!G7+東京地区!G7+東海・北陸地区!G7+近畿・中国・四国地区!G7+九州地区!G7</f>
        <v>1865</v>
      </c>
      <c r="H7" s="9">
        <f>SUM(F7:G7)</f>
        <v>2140</v>
      </c>
      <c r="I7" s="9">
        <f>SUM(J7:K7)</f>
        <v>1275</v>
      </c>
      <c r="J7" s="9">
        <f>北海道地区!J7+東北地区!J7+関東・甲信越地区!J7+東京地区!J7+東海・北陸地区!J7+近畿・中国・四国地区!J7+九州地区!J7</f>
        <v>490</v>
      </c>
      <c r="K7" s="9">
        <f>北海道地区!K7+東北地区!K7+関東・甲信越地区!K7+東京地区!K7+東海・北陸地区!K7+近畿・中国・四国地区!K7+九州地区!K7</f>
        <v>785</v>
      </c>
      <c r="L7" s="10">
        <f>SUM(J7:K7)</f>
        <v>1275</v>
      </c>
    </row>
    <row r="8" spans="1:13" ht="15" customHeight="1" x14ac:dyDescent="0.35">
      <c r="A8" s="2" t="s">
        <v>16</v>
      </c>
      <c r="B8" s="3">
        <f>6+5+9+8+16</f>
        <v>44</v>
      </c>
      <c r="C8" s="3">
        <v>2</v>
      </c>
      <c r="D8" s="3">
        <f>D7+B8-C8</f>
        <v>71</v>
      </c>
      <c r="E8" s="3">
        <f>E7+F8+G8</f>
        <v>5840</v>
      </c>
      <c r="F8" s="3">
        <f>北海道地区!F8+東北地区!F8+関東・甲信越地区!F8+東京地区!F8+東海・北陸地区!F8+近畿・中国・四国地区!F8+九州地区!F8</f>
        <v>1440</v>
      </c>
      <c r="G8" s="3">
        <f>北海道地区!G8+東北地区!G8+関東・甲信越地区!G8+東京地区!G8+東海・北陸地区!G8+近畿・中国・四国地区!G8+九州地区!G8</f>
        <v>2260</v>
      </c>
      <c r="H8" s="3">
        <f t="shared" ref="H8:H39" si="0">SUM(F8:G8)</f>
        <v>3700</v>
      </c>
      <c r="I8" s="3">
        <f>I7+J8+K8</f>
        <v>3740</v>
      </c>
      <c r="J8" s="3">
        <f>北海道地区!J8+東北地区!J8+関東・甲信越地区!J8+東京地区!J8+東海・北陸地区!J8+近畿・中国・四国地区!J8+九州地区!J8</f>
        <v>895</v>
      </c>
      <c r="K8" s="3">
        <f>北海道地区!K8+東北地区!K8+関東・甲信越地区!K8+東京地区!K8+東海・北陸地区!K8+近畿・中国・四国地区!K8+九州地区!K8</f>
        <v>1570</v>
      </c>
      <c r="L8" s="4">
        <f t="shared" ref="L8:L39" si="1">SUM(J8:K8)</f>
        <v>2465</v>
      </c>
      <c r="M8" s="31"/>
    </row>
    <row r="9" spans="1:13" ht="15" customHeight="1" x14ac:dyDescent="0.35">
      <c r="A9" s="2" t="s">
        <v>17</v>
      </c>
      <c r="B9" s="3">
        <f>32+21+20+27+16</f>
        <v>116</v>
      </c>
      <c r="C9" s="3">
        <v>3</v>
      </c>
      <c r="D9" s="3">
        <f t="shared" ref="D9:D39" si="2">D8+B9-C9</f>
        <v>184</v>
      </c>
      <c r="E9" s="3">
        <f t="shared" ref="E9:E38" si="3">E8+F9+G9</f>
        <v>16029</v>
      </c>
      <c r="F9" s="3">
        <f>北海道地区!F9+東北地区!F9+関東・甲信越地区!F9+東京地区!F9+東海・北陸地区!F9+近畿・中国・四国地区!F9+九州地区!F9</f>
        <v>4132</v>
      </c>
      <c r="G9" s="3">
        <f>北海道地区!G9+東北地区!G9+関東・甲信越地区!G9+東京地区!G9+東海・北陸地区!G9+近畿・中国・四国地区!G9+九州地区!G9</f>
        <v>6057</v>
      </c>
      <c r="H9" s="3">
        <f t="shared" si="0"/>
        <v>10189</v>
      </c>
      <c r="I9" s="3">
        <f t="shared" ref="I9:I39" si="4">I8+J9+K9</f>
        <v>7609</v>
      </c>
      <c r="J9" s="3">
        <f>北海道地区!J9+東北地区!J9+関東・甲信越地区!J9+東京地区!J9+東海・北陸地区!J9+近畿・中国・四国地区!J9+九州地区!J9</f>
        <v>1419</v>
      </c>
      <c r="K9" s="3">
        <f>北海道地区!K9+東北地区!K9+関東・甲信越地区!K9+東京地区!K9+東海・北陸地区!K9+近畿・中国・四国地区!K9+九州地区!K9</f>
        <v>2450</v>
      </c>
      <c r="L9" s="4">
        <f t="shared" si="1"/>
        <v>3869</v>
      </c>
      <c r="M9" s="31"/>
    </row>
    <row r="10" spans="1:13" ht="15" customHeight="1" x14ac:dyDescent="0.35">
      <c r="A10" s="2" t="s">
        <v>18</v>
      </c>
      <c r="B10" s="3">
        <f>14+10+10+6+5</f>
        <v>45</v>
      </c>
      <c r="C10" s="3">
        <f>2+1+3+1+6</f>
        <v>13</v>
      </c>
      <c r="D10" s="3">
        <f t="shared" si="2"/>
        <v>216</v>
      </c>
      <c r="E10" s="3">
        <f t="shared" si="3"/>
        <v>22849</v>
      </c>
      <c r="F10" s="3">
        <f>北海道地区!F10+東北地区!F10+関東・甲信越地区!F10+東京地区!F10+東海・北陸地区!F10+近畿・中国・四国地区!F10+九州地区!F10</f>
        <v>3835</v>
      </c>
      <c r="G10" s="3">
        <f>北海道地区!G10+東北地区!G10+関東・甲信越地区!G10+東京地区!G10+東海・北陸地区!G10+近畿・中国・四国地区!G10+九州地区!G10</f>
        <v>2985</v>
      </c>
      <c r="H10" s="3">
        <f t="shared" si="0"/>
        <v>6820</v>
      </c>
      <c r="I10" s="3">
        <f t="shared" si="4"/>
        <v>9322</v>
      </c>
      <c r="J10" s="3">
        <f>北海道地区!J10+東北地区!J10+関東・甲信越地区!J10+東京地区!J10+東海・北陸地区!J10+近畿・中国・四国地区!J10+九州地区!J10</f>
        <v>393</v>
      </c>
      <c r="K10" s="3">
        <f>北海道地区!K10+東北地区!K10+関東・甲信越地区!K10+東京地区!K10+東海・北陸地区!K10+近畿・中国・四国地区!K10+九州地区!K10</f>
        <v>1320</v>
      </c>
      <c r="L10" s="4">
        <f t="shared" si="1"/>
        <v>1713</v>
      </c>
      <c r="M10" s="31"/>
    </row>
    <row r="11" spans="1:13" ht="15" customHeight="1" x14ac:dyDescent="0.35">
      <c r="A11" s="2" t="s">
        <v>19</v>
      </c>
      <c r="B11" s="3">
        <f>8+10+8+4+5</f>
        <v>35</v>
      </c>
      <c r="C11" s="3">
        <f>6+1+1+4</f>
        <v>12</v>
      </c>
      <c r="D11" s="3">
        <f t="shared" si="2"/>
        <v>239</v>
      </c>
      <c r="E11" s="3">
        <f t="shared" si="3"/>
        <v>28218</v>
      </c>
      <c r="F11" s="3">
        <f>北海道地区!F11+東北地区!F11+関東・甲信越地区!F11+東京地区!F11+東海・北陸地区!F11+近畿・中国・四国地区!F11+九州地区!F11</f>
        <v>2487</v>
      </c>
      <c r="G11" s="3">
        <f>北海道地区!G11+東北地区!G11+関東・甲信越地区!G11+東京地区!G11+東海・北陸地区!G11+近畿・中国・四国地区!G11+九州地区!G11</f>
        <v>2882</v>
      </c>
      <c r="H11" s="3">
        <f t="shared" si="0"/>
        <v>5369</v>
      </c>
      <c r="I11" s="3">
        <f t="shared" si="4"/>
        <v>9703</v>
      </c>
      <c r="J11" s="3">
        <f>北海道地区!J11+東北地区!J11+関東・甲信越地区!J11+東京地区!J11+東海・北陸地区!J11+近畿・中国・四国地区!J11+九州地区!J11</f>
        <v>-259</v>
      </c>
      <c r="K11" s="3">
        <f>北海道地区!K11+東北地区!K11+関東・甲信越地区!K11+東京地区!K11+東海・北陸地区!K11+近畿・中国・四国地区!K11+九州地区!K11</f>
        <v>640</v>
      </c>
      <c r="L11" s="4">
        <f t="shared" si="1"/>
        <v>381</v>
      </c>
      <c r="M11" s="31"/>
    </row>
    <row r="12" spans="1:13" ht="15" customHeight="1" x14ac:dyDescent="0.35">
      <c r="A12" s="2" t="s">
        <v>20</v>
      </c>
      <c r="B12" s="3">
        <f>4+6+2+6+1</f>
        <v>19</v>
      </c>
      <c r="C12" s="3">
        <f>3+2+3+3+3</f>
        <v>14</v>
      </c>
      <c r="D12" s="3">
        <f t="shared" si="2"/>
        <v>244</v>
      </c>
      <c r="E12" s="3">
        <f>E11+F12+G12</f>
        <v>28373</v>
      </c>
      <c r="F12" s="3">
        <f>北海道地区!F12+東北地区!F12+関東・甲信越地区!F12+東京地区!F12+東海・北陸地区!F12+近畿・中国・四国地区!F12+九州地区!F12</f>
        <v>-848</v>
      </c>
      <c r="G12" s="3">
        <f>北海道地区!G12+東北地区!G12+関東・甲信越地区!G12+東京地区!G12+東海・北陸地区!G12+近畿・中国・四国地区!G12+九州地区!G12</f>
        <v>1003</v>
      </c>
      <c r="H12" s="3">
        <f t="shared" si="0"/>
        <v>155</v>
      </c>
      <c r="I12" s="3">
        <f t="shared" si="4"/>
        <v>8157</v>
      </c>
      <c r="J12" s="3">
        <f>北海道地区!J12+東北地区!J12+関東・甲信越地区!J12+東京地区!J12+東海・北陸地区!J12+近畿・中国・四国地区!J12+九州地区!J12</f>
        <v>-1546</v>
      </c>
      <c r="K12" s="3">
        <f>北海道地区!K12+東北地区!K12+関東・甲信越地区!K12+東京地区!K12+東海・北陸地区!K12+近畿・中国・四国地区!K12+九州地区!K12</f>
        <v>0</v>
      </c>
      <c r="L12" s="4">
        <f t="shared" si="1"/>
        <v>-1546</v>
      </c>
      <c r="M12" s="31"/>
    </row>
    <row r="13" spans="1:13" ht="15" customHeight="1" x14ac:dyDescent="0.35">
      <c r="A13" s="2">
        <v>63</v>
      </c>
      <c r="B13" s="3">
        <v>4</v>
      </c>
      <c r="C13" s="3">
        <v>1</v>
      </c>
      <c r="D13" s="3">
        <f t="shared" si="2"/>
        <v>247</v>
      </c>
      <c r="E13" s="3">
        <f t="shared" si="3"/>
        <v>28828</v>
      </c>
      <c r="F13" s="3">
        <f>北海道地区!F13+東北地区!F13+関東・甲信越地区!F13+東京地区!F13+東海・北陸地区!F13+近畿・中国・四国地区!F13+九州地区!F13</f>
        <v>225</v>
      </c>
      <c r="G13" s="3">
        <f>北海道地区!G13+東北地区!G13+関東・甲信越地区!G13+東京地区!G13+東海・北陸地区!G13+近畿・中国・四国地区!G13+九州地区!G13</f>
        <v>230</v>
      </c>
      <c r="H13" s="3">
        <f t="shared" si="0"/>
        <v>455</v>
      </c>
      <c r="I13" s="3">
        <f t="shared" si="4"/>
        <v>7977</v>
      </c>
      <c r="J13" s="3">
        <f>北海道地区!J13+東北地区!J13+関東・甲信越地区!J13+東京地区!J13+東海・北陸地区!J13+近畿・中国・四国地区!J13+九州地区!J13</f>
        <v>-180</v>
      </c>
      <c r="K13" s="3">
        <f>北海道地区!K13+東北地区!K13+関東・甲信越地区!K13+東京地区!K13+東海・北陸地区!K13+近畿・中国・四国地区!K13+九州地区!K13</f>
        <v>0</v>
      </c>
      <c r="L13" s="4">
        <f t="shared" si="1"/>
        <v>-180</v>
      </c>
      <c r="M13" s="31"/>
    </row>
    <row r="14" spans="1:13" ht="15" customHeight="1" x14ac:dyDescent="0.35">
      <c r="A14" s="2" t="s">
        <v>38</v>
      </c>
      <c r="B14" s="3">
        <v>3</v>
      </c>
      <c r="C14" s="3">
        <v>1</v>
      </c>
      <c r="D14" s="3">
        <f t="shared" si="2"/>
        <v>249</v>
      </c>
      <c r="E14" s="3">
        <f t="shared" si="3"/>
        <v>29268</v>
      </c>
      <c r="F14" s="3">
        <f>北海道地区!F14+東北地区!F14+関東・甲信越地区!F14+東京地区!F14+東海・北陸地区!F14+近畿・中国・四国地区!F14+九州地区!F14</f>
        <v>310</v>
      </c>
      <c r="G14" s="3">
        <f>北海道地区!G14+東北地区!G14+関東・甲信越地区!G14+東京地区!G14+東海・北陸地区!G14+近畿・中国・四国地区!G14+九州地区!G14</f>
        <v>130</v>
      </c>
      <c r="H14" s="3">
        <f t="shared" si="0"/>
        <v>440</v>
      </c>
      <c r="I14" s="3">
        <f t="shared" si="4"/>
        <v>7947</v>
      </c>
      <c r="J14" s="3">
        <f>北海道地区!J14+東北地区!J14+関東・甲信越地区!J14+東京地区!J14+東海・北陸地区!J14+近畿・中国・四国地区!J14+九州地区!J14</f>
        <v>-55</v>
      </c>
      <c r="K14" s="3">
        <f>北海道地区!K14+東北地区!K14+関東・甲信越地区!K14+東京地区!K14+東海・北陸地区!K14+近畿・中国・四国地区!K14+九州地区!K14</f>
        <v>25</v>
      </c>
      <c r="L14" s="4">
        <f t="shared" si="1"/>
        <v>-30</v>
      </c>
      <c r="M14" s="31"/>
    </row>
    <row r="15" spans="1:13" ht="15" customHeight="1" x14ac:dyDescent="0.35">
      <c r="A15" s="2">
        <v>2</v>
      </c>
      <c r="B15" s="3">
        <v>3</v>
      </c>
      <c r="C15" s="3">
        <v>1</v>
      </c>
      <c r="D15" s="3">
        <f t="shared" si="2"/>
        <v>251</v>
      </c>
      <c r="E15" s="3">
        <f t="shared" si="3"/>
        <v>29536</v>
      </c>
      <c r="F15" s="3">
        <f>北海道地区!F15+東北地区!F15+関東・甲信越地区!F15+東京地区!F15+東海・北陸地区!F15+近畿・中国・四国地区!F15+九州地区!F15</f>
        <v>228</v>
      </c>
      <c r="G15" s="3">
        <f>北海道地区!G15+東北地区!G15+関東・甲信越地区!G15+東京地区!G15+東海・北陸地区!G15+近畿・中国・四国地区!G15+九州地区!G15</f>
        <v>40</v>
      </c>
      <c r="H15" s="3">
        <f t="shared" si="0"/>
        <v>268</v>
      </c>
      <c r="I15" s="3">
        <f t="shared" si="4"/>
        <v>7797</v>
      </c>
      <c r="J15" s="3">
        <f>北海道地区!J15+東北地区!J15+関東・甲信越地区!J15+東京地区!J15+東海・北陸地区!J15+近畿・中国・四国地区!J15+九州地区!J15</f>
        <v>-190</v>
      </c>
      <c r="K15" s="3">
        <f>北海道地区!K15+東北地区!K15+関東・甲信越地区!K15+東京地区!K15+東海・北陸地区!K15+近畿・中国・四国地区!K15+九州地区!K15</f>
        <v>40</v>
      </c>
      <c r="L15" s="4">
        <f t="shared" si="1"/>
        <v>-150</v>
      </c>
      <c r="M15" s="31"/>
    </row>
    <row r="16" spans="1:13" ht="15" customHeight="1" x14ac:dyDescent="0.35">
      <c r="A16" s="2">
        <v>3</v>
      </c>
      <c r="B16" s="3">
        <v>5</v>
      </c>
      <c r="C16" s="3">
        <v>0</v>
      </c>
      <c r="D16" s="3">
        <f t="shared" si="2"/>
        <v>256</v>
      </c>
      <c r="E16" s="3">
        <f t="shared" si="3"/>
        <v>29886</v>
      </c>
      <c r="F16" s="3">
        <f>北海道地区!F16+東北地区!F16+関東・甲信越地区!F16+東京地区!F16+東海・北陸地区!F16+近畿・中国・四国地区!F16+九州地区!F16</f>
        <v>45</v>
      </c>
      <c r="G16" s="3">
        <f>北海道地区!G16+東北地区!G16+関東・甲信越地区!G16+東京地区!G16+東海・北陸地区!G16+近畿・中国・四国地区!G16+九州地区!G16</f>
        <v>305</v>
      </c>
      <c r="H16" s="3">
        <f t="shared" si="0"/>
        <v>350</v>
      </c>
      <c r="I16" s="3">
        <f t="shared" si="4"/>
        <v>7702</v>
      </c>
      <c r="J16" s="3">
        <f>北海道地区!J16+東北地区!J16+関東・甲信越地区!J16+東京地区!J16+東海・北陸地区!J16+近畿・中国・四国地区!J16+九州地区!J16</f>
        <v>-125</v>
      </c>
      <c r="K16" s="3">
        <f>北海道地区!K16+東北地区!K16+関東・甲信越地区!K16+東京地区!K16+東海・北陸地区!K16+近畿・中国・四国地区!K16+九州地区!K16</f>
        <v>30</v>
      </c>
      <c r="L16" s="4">
        <f t="shared" si="1"/>
        <v>-95</v>
      </c>
      <c r="M16" s="31"/>
    </row>
    <row r="17" spans="1:14" ht="15" customHeight="1" x14ac:dyDescent="0.35">
      <c r="A17" s="2">
        <v>4</v>
      </c>
      <c r="B17" s="3">
        <v>4</v>
      </c>
      <c r="C17" s="3">
        <v>4</v>
      </c>
      <c r="D17" s="3">
        <f t="shared" si="2"/>
        <v>256</v>
      </c>
      <c r="E17" s="3">
        <f t="shared" si="3"/>
        <v>29398</v>
      </c>
      <c r="F17" s="3">
        <f>北海道地区!F17+東北地区!F17+関東・甲信越地区!F17+東京地区!F17+東海・北陸地区!F17+近畿・中国・四国地区!F17+九州地区!F17</f>
        <v>-938</v>
      </c>
      <c r="G17" s="3">
        <f>北海道地区!G17+東北地区!G17+関東・甲信越地区!G17+東京地区!G17+東海・北陸地区!G17+近畿・中国・四国地区!G17+九州地区!G17</f>
        <v>450</v>
      </c>
      <c r="H17" s="3">
        <f t="shared" si="0"/>
        <v>-488</v>
      </c>
      <c r="I17" s="3">
        <f t="shared" si="4"/>
        <v>7267</v>
      </c>
      <c r="J17" s="3">
        <f>北海道地区!J17+東北地区!J17+関東・甲信越地区!J17+東京地区!J17+東海・北陸地区!J17+近畿・中国・四国地区!J17+九州地区!J17</f>
        <v>-485</v>
      </c>
      <c r="K17" s="3">
        <f>北海道地区!K17+東北地区!K17+関東・甲信越地区!K17+東京地区!K17+東海・北陸地区!K17+近畿・中国・四国地区!K17+九州地区!K17</f>
        <v>50</v>
      </c>
      <c r="L17" s="4">
        <f t="shared" si="1"/>
        <v>-435</v>
      </c>
      <c r="M17" s="31"/>
    </row>
    <row r="18" spans="1:14" ht="15" customHeight="1" x14ac:dyDescent="0.35">
      <c r="A18" s="2">
        <v>5</v>
      </c>
      <c r="B18" s="3">
        <v>4</v>
      </c>
      <c r="C18" s="3">
        <v>3</v>
      </c>
      <c r="D18" s="3">
        <f t="shared" si="2"/>
        <v>257</v>
      </c>
      <c r="E18" s="3">
        <f t="shared" si="3"/>
        <v>29285</v>
      </c>
      <c r="F18" s="3">
        <f>北海道地区!F18+東北地区!F18+関東・甲信越地区!F18+東京地区!F18+東海・北陸地区!F18+近畿・中国・四国地区!F18+九州地区!F18</f>
        <v>-242</v>
      </c>
      <c r="G18" s="3">
        <f>北海道地区!G18+東北地区!G18+関東・甲信越地区!G18+東京地区!G18+東海・北陸地区!G18+近畿・中国・四国地区!G18+九州地区!G18</f>
        <v>129</v>
      </c>
      <c r="H18" s="3">
        <f t="shared" si="0"/>
        <v>-113</v>
      </c>
      <c r="I18" s="3">
        <f t="shared" si="4"/>
        <v>6967</v>
      </c>
      <c r="J18" s="3">
        <f>北海道地区!J18+東北地区!J18+関東・甲信越地区!J18+東京地区!J18+東海・北陸地区!J18+近畿・中国・四国地区!J18+九州地区!J18</f>
        <v>-300</v>
      </c>
      <c r="K18" s="3">
        <f>北海道地区!K18+東北地区!K18+関東・甲信越地区!K18+東京地区!K18+東海・北陸地区!K18+近畿・中国・四国地区!K18+九州地区!K18</f>
        <v>0</v>
      </c>
      <c r="L18" s="4">
        <f t="shared" si="1"/>
        <v>-300</v>
      </c>
      <c r="M18" s="31"/>
    </row>
    <row r="19" spans="1:14" ht="15" customHeight="1" x14ac:dyDescent="0.35">
      <c r="A19" s="2">
        <v>6</v>
      </c>
      <c r="B19" s="3">
        <v>5</v>
      </c>
      <c r="C19" s="3">
        <v>5</v>
      </c>
      <c r="D19" s="3">
        <f t="shared" si="2"/>
        <v>257</v>
      </c>
      <c r="E19" s="3">
        <f t="shared" si="3"/>
        <v>29010</v>
      </c>
      <c r="F19" s="3">
        <f>北海道地区!F19+東北地区!F19+関東・甲信越地区!F19+東京地区!F19+東海・北陸地区!F19+近畿・中国・四国地区!F19+九州地区!F19</f>
        <v>-435</v>
      </c>
      <c r="G19" s="3">
        <f>北海道地区!G19+東北地区!G19+関東・甲信越地区!G19+東京地区!G19+東海・北陸地区!G19+近畿・中国・四国地区!G19+九州地区!G19</f>
        <v>160</v>
      </c>
      <c r="H19" s="3">
        <f t="shared" si="0"/>
        <v>-275</v>
      </c>
      <c r="I19" s="3">
        <f t="shared" si="4"/>
        <v>6817</v>
      </c>
      <c r="J19" s="3">
        <f>北海道地区!J19+東北地区!J19+関東・甲信越地区!J19+東京地区!J19+東海・北陸地区!J19+近畿・中国・四国地区!J19+九州地区!J19</f>
        <v>-150</v>
      </c>
      <c r="K19" s="3">
        <f>北海道地区!K19+東北地区!K19+関東・甲信越地区!K19+東京地区!K19+東海・北陸地区!K19+近畿・中国・四国地区!K19+九州地区!K19</f>
        <v>0</v>
      </c>
      <c r="L19" s="4">
        <f t="shared" si="1"/>
        <v>-150</v>
      </c>
      <c r="M19" s="31"/>
    </row>
    <row r="20" spans="1:14" ht="15" customHeight="1" x14ac:dyDescent="0.35">
      <c r="A20" s="2">
        <v>7</v>
      </c>
      <c r="B20" s="3">
        <v>0</v>
      </c>
      <c r="C20" s="3">
        <v>5</v>
      </c>
      <c r="D20" s="3">
        <f t="shared" si="2"/>
        <v>252</v>
      </c>
      <c r="E20" s="3">
        <f t="shared" si="3"/>
        <v>28766</v>
      </c>
      <c r="F20" s="3">
        <f>北海道地区!F20+東北地区!F20+関東・甲信越地区!F20+東京地区!F20+東海・北陸地区!F20+近畿・中国・四国地区!F20+九州地区!F20</f>
        <v>-244</v>
      </c>
      <c r="G20" s="3">
        <f>北海道地区!G20+東北地区!G20+関東・甲信越地区!G20+東京地区!G20+東海・北陸地区!G20+近畿・中国・四国地区!G20+九州地区!G20</f>
        <v>0</v>
      </c>
      <c r="H20" s="3">
        <f t="shared" si="0"/>
        <v>-244</v>
      </c>
      <c r="I20" s="3">
        <f t="shared" si="4"/>
        <v>6262</v>
      </c>
      <c r="J20" s="3">
        <f>北海道地区!J20+東北地区!J20+関東・甲信越地区!J20+東京地区!J20+東海・北陸地区!J20+近畿・中国・四国地区!J20+九州地区!J20</f>
        <v>-555</v>
      </c>
      <c r="K20" s="3">
        <f>北海道地区!K20+東北地区!K20+関東・甲信越地区!K20+東京地区!K20+東海・北陸地区!K20+近畿・中国・四国地区!K20+九州地区!K20</f>
        <v>0</v>
      </c>
      <c r="L20" s="4">
        <f t="shared" si="1"/>
        <v>-555</v>
      </c>
      <c r="M20" s="31"/>
    </row>
    <row r="21" spans="1:14" ht="15" customHeight="1" x14ac:dyDescent="0.35">
      <c r="A21" s="2">
        <v>8</v>
      </c>
      <c r="B21" s="3">
        <v>0</v>
      </c>
      <c r="C21" s="3">
        <v>1</v>
      </c>
      <c r="D21" s="3">
        <f t="shared" si="2"/>
        <v>251</v>
      </c>
      <c r="E21" s="3">
        <f t="shared" si="3"/>
        <v>29144</v>
      </c>
      <c r="F21" s="3">
        <f>北海道地区!F21+東北地区!F21+関東・甲信越地区!F21+東京地区!F21+東海・北陸地区!F21+近畿・中国・四国地区!F21+九州地区!F21</f>
        <v>378</v>
      </c>
      <c r="G21" s="3">
        <f>北海道地区!G21+東北地区!G21+関東・甲信越地区!G21+東京地区!G21+東海・北陸地区!G21+近畿・中国・四国地区!G21+九州地区!G21</f>
        <v>0</v>
      </c>
      <c r="H21" s="3">
        <f t="shared" si="0"/>
        <v>378</v>
      </c>
      <c r="I21" s="3">
        <f t="shared" si="4"/>
        <v>5792</v>
      </c>
      <c r="J21" s="3">
        <f>北海道地区!J21+東北地区!J21+関東・甲信越地区!J21+東京地区!J21+東海・北陸地区!J21+近畿・中国・四国地区!J21+九州地区!J21</f>
        <v>-470</v>
      </c>
      <c r="K21" s="3">
        <f>北海道地区!K21+東北地区!K21+関東・甲信越地区!K21+東京地区!K21+東海・北陸地区!K21+近畿・中国・四国地区!K21+九州地区!K21</f>
        <v>0</v>
      </c>
      <c r="L21" s="4">
        <f t="shared" si="1"/>
        <v>-470</v>
      </c>
      <c r="M21" s="31"/>
    </row>
    <row r="22" spans="1:14" ht="15" customHeight="1" x14ac:dyDescent="0.35">
      <c r="A22" s="2">
        <v>9</v>
      </c>
      <c r="B22" s="3">
        <v>2</v>
      </c>
      <c r="C22" s="3">
        <v>3</v>
      </c>
      <c r="D22" s="3">
        <f t="shared" si="2"/>
        <v>250</v>
      </c>
      <c r="E22" s="3">
        <f t="shared" si="3"/>
        <v>29359</v>
      </c>
      <c r="F22" s="3">
        <f>北海道地区!F22+東北地区!F22+関東・甲信越地区!F22+東京地区!F22+東海・北陸地区!F22+近畿・中国・四国地区!F22+九州地区!F22</f>
        <v>135</v>
      </c>
      <c r="G22" s="3">
        <f>北海道地区!G22+東北地区!G22+関東・甲信越地区!G22+東京地区!G22+東海・北陸地区!G22+近畿・中国・四国地区!G22+九州地区!G22</f>
        <v>80</v>
      </c>
      <c r="H22" s="3">
        <f t="shared" si="0"/>
        <v>215</v>
      </c>
      <c r="I22" s="3">
        <f t="shared" si="4"/>
        <v>5517</v>
      </c>
      <c r="J22" s="3">
        <f>北海道地区!J22+東北地区!J22+関東・甲信越地区!J22+東京地区!J22+東海・北陸地区!J22+近畿・中国・四国地区!J22+九州地区!J22</f>
        <v>-275</v>
      </c>
      <c r="K22" s="3">
        <f>北海道地区!K22+東北地区!K22+関東・甲信越地区!K22+東京地区!K22+東海・北陸地区!K22+近畿・中国・四国地区!K22+九州地区!K22</f>
        <v>0</v>
      </c>
      <c r="L22" s="4">
        <f t="shared" si="1"/>
        <v>-275</v>
      </c>
      <c r="M22" s="31"/>
    </row>
    <row r="23" spans="1:14" ht="15" customHeight="1" x14ac:dyDescent="0.35">
      <c r="A23" s="2">
        <v>10</v>
      </c>
      <c r="B23" s="3">
        <v>6</v>
      </c>
      <c r="C23" s="3">
        <v>0</v>
      </c>
      <c r="D23" s="3">
        <f t="shared" si="2"/>
        <v>256</v>
      </c>
      <c r="E23" s="3">
        <f t="shared" si="3"/>
        <v>29652</v>
      </c>
      <c r="F23" s="3">
        <f>北海道地区!F23+東北地区!F23+関東・甲信越地区!F23+東京地区!F23+東海・北陸地区!F23+近畿・中国・四国地区!F23+九州地区!F23</f>
        <v>13</v>
      </c>
      <c r="G23" s="3">
        <f>北海道地区!G23+東北地区!G23+関東・甲信越地区!G23+東京地区!G23+東海・北陸地区!G23+近畿・中国・四国地区!G23+九州地区!G23</f>
        <v>280</v>
      </c>
      <c r="H23" s="3">
        <f t="shared" si="0"/>
        <v>293</v>
      </c>
      <c r="I23" s="3">
        <f t="shared" si="4"/>
        <v>5477</v>
      </c>
      <c r="J23" s="3">
        <f>北海道地区!J23+東北地区!J23+関東・甲信越地区!J23+東京地区!J23+東海・北陸地区!J23+近畿・中国・四国地区!J23+九州地区!J23</f>
        <v>-40</v>
      </c>
      <c r="K23" s="3">
        <f>北海道地区!K23+東北地区!K23+関東・甲信越地区!K23+東京地区!K23+東海・北陸地区!K23+近畿・中国・四国地区!K23+九州地区!K23</f>
        <v>0</v>
      </c>
      <c r="L23" s="4">
        <f t="shared" si="1"/>
        <v>-40</v>
      </c>
      <c r="M23" s="31"/>
    </row>
    <row r="24" spans="1:14" ht="15" customHeight="1" x14ac:dyDescent="0.35">
      <c r="A24" s="2">
        <v>11</v>
      </c>
      <c r="B24" s="3">
        <v>6</v>
      </c>
      <c r="C24" s="3">
        <v>5</v>
      </c>
      <c r="D24" s="3">
        <f t="shared" si="2"/>
        <v>257</v>
      </c>
      <c r="E24" s="3">
        <f t="shared" si="3"/>
        <v>29422</v>
      </c>
      <c r="F24" s="3">
        <f>北海道地区!F24+東北地区!F24+関東・甲信越地区!F24+東京地区!F24+東海・北陸地区!F24+近畿・中国・四国地区!F24+九州地区!F24</f>
        <v>-570</v>
      </c>
      <c r="G24" s="3">
        <f>北海道地区!G24+東北地区!G24+関東・甲信越地区!G24+東京地区!G24+東海・北陸地区!G24+近畿・中国・四国地区!G24+九州地区!G24</f>
        <v>340</v>
      </c>
      <c r="H24" s="3">
        <f t="shared" si="0"/>
        <v>-230</v>
      </c>
      <c r="I24" s="3">
        <f t="shared" si="4"/>
        <v>5237</v>
      </c>
      <c r="J24" s="3">
        <f>北海道地区!J24+東北地区!J24+関東・甲信越地区!J24+東京地区!J24+東海・北陸地区!J24+近畿・中国・四国地区!J24+九州地区!J24</f>
        <v>-240</v>
      </c>
      <c r="K24" s="3">
        <f>北海道地区!K24+東北地区!K24+関東・甲信越地区!K24+東京地区!K24+東海・北陸地区!K24+近畿・中国・四国地区!K24+九州地区!K24</f>
        <v>0</v>
      </c>
      <c r="L24" s="4">
        <f t="shared" si="1"/>
        <v>-240</v>
      </c>
      <c r="M24" s="31"/>
    </row>
    <row r="25" spans="1:14" ht="15" customHeight="1" x14ac:dyDescent="0.35">
      <c r="A25" s="2">
        <v>12</v>
      </c>
      <c r="B25" s="3">
        <v>3</v>
      </c>
      <c r="C25" s="3">
        <v>0</v>
      </c>
      <c r="D25" s="3">
        <f t="shared" si="2"/>
        <v>260</v>
      </c>
      <c r="E25" s="3">
        <f t="shared" si="3"/>
        <v>29837</v>
      </c>
      <c r="F25" s="3">
        <f>北海道地区!F25+東北地区!F25+関東・甲信越地区!F25+東京地区!F25+東海・北陸地区!F25+近畿・中国・四国地区!F25+九州地区!F25</f>
        <v>220</v>
      </c>
      <c r="G25" s="3">
        <f>北海道地区!G25+東北地区!G25+関東・甲信越地区!G25+東京地区!G25+東海・北陸地区!G25+近畿・中国・四国地区!G25+九州地区!G25</f>
        <v>195</v>
      </c>
      <c r="H25" s="3">
        <f t="shared" si="0"/>
        <v>415</v>
      </c>
      <c r="I25" s="3">
        <f t="shared" si="4"/>
        <v>5117</v>
      </c>
      <c r="J25" s="3">
        <f>北海道地区!J25+東北地区!J25+関東・甲信越地区!J25+東京地区!J25+東海・北陸地区!J25+近畿・中国・四国地区!J25+九州地区!J25</f>
        <v>-120</v>
      </c>
      <c r="K25" s="3">
        <f>北海道地区!K25+東北地区!K25+関東・甲信越地区!K25+東京地区!K25+東海・北陸地区!K25+近畿・中国・四国地区!K25+九州地区!K25</f>
        <v>0</v>
      </c>
      <c r="L25" s="4">
        <f t="shared" si="1"/>
        <v>-120</v>
      </c>
      <c r="M25" s="31"/>
    </row>
    <row r="26" spans="1:14" ht="15" customHeight="1" x14ac:dyDescent="0.35">
      <c r="A26" s="2">
        <v>13</v>
      </c>
      <c r="B26" s="3">
        <v>5</v>
      </c>
      <c r="C26" s="3">
        <v>2</v>
      </c>
      <c r="D26" s="3">
        <f t="shared" si="2"/>
        <v>263</v>
      </c>
      <c r="E26" s="3">
        <f t="shared" si="3"/>
        <v>29924</v>
      </c>
      <c r="F26" s="3">
        <f>北海道地区!F26+東北地区!F26+関東・甲信越地区!F26+東京地区!F26+東海・北陸地区!F26+近畿・中国・四国地区!F26+九州地区!F26</f>
        <v>-128</v>
      </c>
      <c r="G26" s="3">
        <f>北海道地区!G26+東北地区!G26+関東・甲信越地区!G26+東京地区!G26+東海・北陸地区!G26+近畿・中国・四国地区!G26+九州地区!G26</f>
        <v>215</v>
      </c>
      <c r="H26" s="3">
        <f t="shared" si="0"/>
        <v>87</v>
      </c>
      <c r="I26" s="3">
        <f t="shared" si="4"/>
        <v>5172</v>
      </c>
      <c r="J26" s="3">
        <f>北海道地区!J26+東北地区!J26+関東・甲信越地区!J26+東京地区!J26+東海・北陸地区!J26+近畿・中国・四国地区!J26+九州地区!J26</f>
        <v>55</v>
      </c>
      <c r="K26" s="3">
        <f>北海道地区!K26+東北地区!K26+関東・甲信越地区!K26+東京地区!K26+東海・北陸地区!K26+近畿・中国・四国地区!K26+九州地区!K26</f>
        <v>0</v>
      </c>
      <c r="L26" s="4">
        <f t="shared" si="1"/>
        <v>55</v>
      </c>
      <c r="M26" s="31"/>
    </row>
    <row r="27" spans="1:14" ht="15" customHeight="1" x14ac:dyDescent="0.35">
      <c r="A27" s="2">
        <v>14</v>
      </c>
      <c r="B27" s="3">
        <v>4</v>
      </c>
      <c r="C27" s="3">
        <v>2</v>
      </c>
      <c r="D27" s="3">
        <f t="shared" si="2"/>
        <v>265</v>
      </c>
      <c r="E27" s="3">
        <f t="shared" si="3"/>
        <v>29429</v>
      </c>
      <c r="F27" s="3">
        <f>北海道地区!F27+東北地区!F27+関東・甲信越地区!F27+東京地区!F27+東海・北陸地区!F27+近畿・中国・四国地区!F27+九州地区!F27</f>
        <v>-645</v>
      </c>
      <c r="G27" s="3">
        <f>北海道地区!G27+東北地区!G27+関東・甲信越地区!G27+東京地区!G27+東海・北陸地区!G27+近畿・中国・四国地区!G27+九州地区!G27</f>
        <v>150</v>
      </c>
      <c r="H27" s="3">
        <f t="shared" si="0"/>
        <v>-495</v>
      </c>
      <c r="I27" s="3">
        <f t="shared" si="4"/>
        <v>5307</v>
      </c>
      <c r="J27" s="3">
        <f>北海道地区!J27+東北地区!J27+関東・甲信越地区!J27+東京地区!J27+東海・北陸地区!J27+近畿・中国・四国地区!J27+九州地区!J27</f>
        <v>55</v>
      </c>
      <c r="K27" s="3">
        <f>北海道地区!K27+東北地区!K27+関東・甲信越地区!K27+東京地区!K27+東海・北陸地区!K27+近畿・中国・四国地区!K27+九州地区!K27</f>
        <v>80</v>
      </c>
      <c r="L27" s="4">
        <f t="shared" si="1"/>
        <v>135</v>
      </c>
      <c r="M27" s="31"/>
    </row>
    <row r="28" spans="1:14" ht="15" customHeight="1" x14ac:dyDescent="0.35">
      <c r="A28" s="2">
        <v>15</v>
      </c>
      <c r="B28" s="3">
        <f>北海道地区!B28+東北地区!B28+関東・甲信越地区!B28+東京地区!B28+東海・北陸地区!B28+近畿・中国・四国地区!B28+九州地区!B28</f>
        <v>5</v>
      </c>
      <c r="C28" s="3">
        <f>北海道地区!C28+東北地区!C28+関東・甲信越地区!C28+東京地区!C28+東海・北陸地区!C28+近畿・中国・四国地区!C28+九州地区!C28</f>
        <v>1</v>
      </c>
      <c r="D28" s="3">
        <f t="shared" si="2"/>
        <v>269</v>
      </c>
      <c r="E28" s="3">
        <f t="shared" si="3"/>
        <v>29027</v>
      </c>
      <c r="F28" s="3">
        <f>北海道地区!F28+東北地区!F28+関東・甲信越地区!F28+東京地区!F28+東海・北陸地区!F28+近畿・中国・四国地区!F28+九州地区!F28</f>
        <v>-630</v>
      </c>
      <c r="G28" s="3">
        <f>北海道地区!G28+東北地区!G28+関東・甲信越地区!G28+東京地区!G28+東海・北陸地区!G28+近畿・中国・四国地区!G28+九州地区!G28</f>
        <v>228</v>
      </c>
      <c r="H28" s="3">
        <f t="shared" si="0"/>
        <v>-402</v>
      </c>
      <c r="I28" s="3">
        <f t="shared" si="4"/>
        <v>4959</v>
      </c>
      <c r="J28" s="3">
        <f>北海道地区!J28+東北地区!J28+関東・甲信越地区!J28+東京地区!J28+東海・北陸地区!J28+近畿・中国・四国地区!J28+九州地区!J28</f>
        <v>-348</v>
      </c>
      <c r="K28" s="3">
        <f>北海道地区!K28+東北地区!K28+関東・甲信越地区!K28+東京地区!K28+東海・北陸地区!K28+近畿・中国・四国地区!K28+九州地区!K28</f>
        <v>0</v>
      </c>
      <c r="L28" s="4">
        <f t="shared" si="1"/>
        <v>-348</v>
      </c>
      <c r="M28" s="31"/>
    </row>
    <row r="29" spans="1:14" ht="15" customHeight="1" x14ac:dyDescent="0.35">
      <c r="A29" s="2">
        <v>16</v>
      </c>
      <c r="B29" s="3">
        <f>北海道地区!B29+東北地区!B29+関東・甲信越地区!B29+東京地区!B29+東海・北陸地区!B29+近畿・中国・四国地区!B29+九州地区!B29</f>
        <v>3</v>
      </c>
      <c r="C29" s="3">
        <f>北海道地区!C29+東北地区!C29+関東・甲信越地区!C29+東京地区!C29+東海・北陸地区!C29+近畿・中国・四国地区!C29+九州地区!C29</f>
        <v>2</v>
      </c>
      <c r="D29" s="3">
        <f t="shared" si="2"/>
        <v>270</v>
      </c>
      <c r="E29" s="3">
        <f t="shared" si="3"/>
        <v>29295</v>
      </c>
      <c r="F29" s="3">
        <f>北海道地区!F29+東北地区!F29+関東・甲信越地区!F29+東京地区!F29+東海・北陸地区!F29+近畿・中国・四国地区!F29+九州地区!F29</f>
        <v>78</v>
      </c>
      <c r="G29" s="3">
        <f>北海道地区!G29+東北地区!G29+関東・甲信越地区!G29+東京地区!G29+東海・北陸地区!G29+近畿・中国・四国地区!G29+九州地区!G29</f>
        <v>190</v>
      </c>
      <c r="H29" s="3">
        <f t="shared" si="0"/>
        <v>268</v>
      </c>
      <c r="I29" s="3">
        <f t="shared" si="4"/>
        <v>4729</v>
      </c>
      <c r="J29" s="3">
        <f>北海道地区!J29+東北地区!J29+関東・甲信越地区!J29+東京地区!J29+東海・北陸地区!J29+近畿・中国・四国地区!J29+九州地区!J29</f>
        <v>-245</v>
      </c>
      <c r="K29" s="3">
        <f>北海道地区!K29+東北地区!K29+関東・甲信越地区!K29+東京地区!K29+東海・北陸地区!K29+近畿・中国・四国地区!K29+九州地区!K29</f>
        <v>15</v>
      </c>
      <c r="L29" s="4">
        <f t="shared" si="1"/>
        <v>-230</v>
      </c>
      <c r="M29" s="31"/>
    </row>
    <row r="30" spans="1:14" ht="15" customHeight="1" x14ac:dyDescent="0.35">
      <c r="A30" s="2">
        <v>17</v>
      </c>
      <c r="B30" s="3">
        <f>北海道地区!B30+東北地区!B30+関東・甲信越地区!B30+東京地区!B30+東海・北陸地区!B30+近畿・中国・四国地区!B30+九州地区!B30</f>
        <v>7</v>
      </c>
      <c r="C30" s="3">
        <f>北海道地区!C30+東北地区!C30+関東・甲信越地区!C30+東京地区!C30+東海・北陸地区!C30+近畿・中国・四国地区!C30+九州地区!C30</f>
        <v>6</v>
      </c>
      <c r="D30" s="3">
        <f t="shared" si="2"/>
        <v>271</v>
      </c>
      <c r="E30" s="3">
        <f t="shared" si="3"/>
        <v>29102</v>
      </c>
      <c r="F30" s="3">
        <f>北海道地区!F30+東北地区!F30+関東・甲信越地区!F30+東京地区!F30+東海・北陸地区!F30+近畿・中国・四国地区!F30+九州地区!F30</f>
        <v>-528</v>
      </c>
      <c r="G30" s="3">
        <f>北海道地区!G30+東北地区!G30+関東・甲信越地区!G30+東京地区!G30+東海・北陸地区!G30+近畿・中国・四国地区!G30+九州地区!G30</f>
        <v>335</v>
      </c>
      <c r="H30" s="3">
        <f t="shared" si="0"/>
        <v>-193</v>
      </c>
      <c r="I30" s="3">
        <f t="shared" si="4"/>
        <v>4449</v>
      </c>
      <c r="J30" s="3">
        <f>北海道地区!J30+東北地区!J30+関東・甲信越地区!J30+東京地区!J30+東海・北陸地区!J30+近畿・中国・四国地区!J30+九州地区!J30</f>
        <v>-300</v>
      </c>
      <c r="K30" s="3">
        <f>北海道地区!K30+東北地区!K30+関東・甲信越地区!K30+東京地区!K30+東海・北陸地区!K30+近畿・中国・四国地区!K30+九州地区!K30</f>
        <v>20</v>
      </c>
      <c r="L30" s="4">
        <f t="shared" si="1"/>
        <v>-280</v>
      </c>
      <c r="M30" s="31"/>
    </row>
    <row r="31" spans="1:14" ht="15" customHeight="1" x14ac:dyDescent="0.35">
      <c r="A31" s="2">
        <v>18</v>
      </c>
      <c r="B31" s="3">
        <f>北海道地区!B31+東北地区!B31+関東・甲信越地区!B31+東京地区!B31+東海・北陸地区!B31+近畿・中国・四国地区!B31+九州地区!B31</f>
        <v>5</v>
      </c>
      <c r="C31" s="3">
        <f>北海道地区!C31+東北地区!C31+関東・甲信越地区!C31+東京地区!C31+東海・北陸地区!C31+近畿・中国・四国地区!C31+九州地区!C31</f>
        <v>4</v>
      </c>
      <c r="D31" s="3">
        <f>D30+B31-C31</f>
        <v>272</v>
      </c>
      <c r="E31" s="3">
        <f t="shared" si="3"/>
        <v>28612</v>
      </c>
      <c r="F31" s="3">
        <f>北海道地区!F31+東北地区!F31+関東・甲信越地区!F31+東京地区!F31+東海・北陸地区!F31+近畿・中国・四国地区!F31+九州地区!F31</f>
        <v>-875</v>
      </c>
      <c r="G31" s="3">
        <f>北海道地区!G31+東北地区!G31+関東・甲信越地区!G31+東京地区!G31+東海・北陸地区!G31+近畿・中国・四国地区!G31+九州地区!G31</f>
        <v>385</v>
      </c>
      <c r="H31" s="3">
        <f t="shared" si="0"/>
        <v>-490</v>
      </c>
      <c r="I31" s="3">
        <f t="shared" si="4"/>
        <v>4289</v>
      </c>
      <c r="J31" s="3">
        <f>北海道地区!J31+東北地区!J31+関東・甲信越地区!J31+東京地区!J31+東海・北陸地区!J31+近畿・中国・四国地区!J31+九州地区!J31</f>
        <v>-200</v>
      </c>
      <c r="K31" s="3">
        <f>北海道地区!K31+東北地区!K31+関東・甲信越地区!K31+東京地区!K31+東海・北陸地区!K31+近畿・中国・四国地区!K31+九州地区!K31</f>
        <v>40</v>
      </c>
      <c r="L31" s="4">
        <f t="shared" si="1"/>
        <v>-160</v>
      </c>
      <c r="M31" s="31"/>
    </row>
    <row r="32" spans="1:14" ht="15" customHeight="1" x14ac:dyDescent="0.35">
      <c r="A32" s="2">
        <v>19</v>
      </c>
      <c r="B32" s="3">
        <f>北海道地区!B32+東北地区!B32+関東・甲信越地区!B32+東京地区!B32+東海・北陸地区!B32+近畿・中国・四国地区!B32+九州地区!B32</f>
        <v>3</v>
      </c>
      <c r="C32" s="3">
        <f>北海道地区!C32+東北地区!C32+関東・甲信越地区!C32+東京地区!C32+東海・北陸地区!C32+近畿・中国・四国地区!C32+九州地区!C32</f>
        <v>3</v>
      </c>
      <c r="D32" s="3">
        <f t="shared" si="2"/>
        <v>272</v>
      </c>
      <c r="E32" s="3">
        <f t="shared" si="3"/>
        <v>27602</v>
      </c>
      <c r="F32" s="3">
        <f>北海道地区!F32+東北地区!F32+関東・甲信越地区!F32+東京地区!F32+東海・北陸地区!F32+近畿・中国・四国地区!F32+九州地区!F32</f>
        <v>-1194</v>
      </c>
      <c r="G32" s="3">
        <f>北海道地区!G32+東北地区!G32+関東・甲信越地区!G32+東京地区!G32+東海・北陸地区!G32+近畿・中国・四国地区!G32+九州地区!G32</f>
        <v>184</v>
      </c>
      <c r="H32" s="3">
        <f t="shared" si="0"/>
        <v>-1010</v>
      </c>
      <c r="I32" s="3">
        <f t="shared" si="4"/>
        <v>4034</v>
      </c>
      <c r="J32" s="3">
        <f>北海道地区!J32+東北地区!J32+関東・甲信越地区!J32+東京地区!J32+東海・北陸地区!J32+近畿・中国・四国地区!J32+九州地区!J32</f>
        <v>-255</v>
      </c>
      <c r="K32" s="3">
        <f>北海道地区!K32+東北地区!K32+関東・甲信越地区!K32+東京地区!K32+東海・北陸地区!K32+近畿・中国・四国地区!K32+九州地区!K32</f>
        <v>0</v>
      </c>
      <c r="L32" s="4">
        <f t="shared" si="1"/>
        <v>-255</v>
      </c>
      <c r="M32" s="31"/>
      <c r="N32" s="32">
        <f t="shared" ref="N32:N43" si="5">E32+I32</f>
        <v>31636</v>
      </c>
    </row>
    <row r="33" spans="1:14" ht="15" customHeight="1" x14ac:dyDescent="0.35">
      <c r="A33" s="2">
        <v>20</v>
      </c>
      <c r="B33" s="3">
        <v>1</v>
      </c>
      <c r="C33" s="3">
        <f>北海道地区!C33+東北地区!C33+関東・甲信越地区!C33+東京地区!C33+東海・北陸地区!C33+近畿・中国・四国地区!C33+九州地区!C33</f>
        <v>2</v>
      </c>
      <c r="D33" s="3">
        <f t="shared" si="2"/>
        <v>271</v>
      </c>
      <c r="E33" s="3">
        <f t="shared" si="3"/>
        <v>27118</v>
      </c>
      <c r="F33" s="3">
        <f>北海道地区!F33+東北地区!F33+関東・甲信越地区!F33+東京地区!F33+東海・北陸地区!F33+近畿・中国・四国地区!F33+九州地区!F33</f>
        <v>-524</v>
      </c>
      <c r="G33" s="3">
        <f>北海道地区!G33+東北地区!G33+関東・甲信越地区!G33+東京地区!G33+東海・北陸地区!G33+近畿・中国・四国地区!G33+九州地区!G33</f>
        <v>40</v>
      </c>
      <c r="H33" s="3">
        <f t="shared" si="0"/>
        <v>-484</v>
      </c>
      <c r="I33" s="3">
        <f t="shared" si="4"/>
        <v>3879</v>
      </c>
      <c r="J33" s="3">
        <f>北海道地区!J33+東北地区!J33+関東・甲信越地区!J33+東京地区!J33+東海・北陸地区!J33+近畿・中国・四国地区!J33+九州地区!J33</f>
        <v>-155</v>
      </c>
      <c r="K33" s="3">
        <f>北海道地区!K33+東北地区!K33+関東・甲信越地区!K33+東京地区!K33+東海・北陸地区!K33+近畿・中国・四国地区!K33+九州地区!K33</f>
        <v>0</v>
      </c>
      <c r="L33" s="4">
        <f t="shared" si="1"/>
        <v>-155</v>
      </c>
      <c r="M33" s="31"/>
      <c r="N33" s="32">
        <f t="shared" si="5"/>
        <v>30997</v>
      </c>
    </row>
    <row r="34" spans="1:14" ht="15" customHeight="1" x14ac:dyDescent="0.35">
      <c r="A34" s="2">
        <v>21</v>
      </c>
      <c r="B34" s="3">
        <f>北海道地区!B34+東北地区!B34+関東・甲信越地区!B34+東京地区!B34+東海・北陸地区!B34+近畿・中国・四国地区!B34+九州地区!B34</f>
        <v>5</v>
      </c>
      <c r="C34" s="3">
        <f>北海道地区!C34+東北地区!C34+関東・甲信越地区!C34+東京地区!C34+東海・北陸地区!C34+近畿・中国・四国地区!C34+九州地区!C34</f>
        <v>2</v>
      </c>
      <c r="D34" s="3">
        <f t="shared" si="2"/>
        <v>274</v>
      </c>
      <c r="E34" s="3">
        <f t="shared" si="3"/>
        <v>26232</v>
      </c>
      <c r="F34" s="3">
        <f>北海道地区!F34+東北地区!F34+関東・甲信越地区!F34+東京地区!F34+東海・北陸地区!F34+近畿・中国・四国地区!F34+九州地区!F34</f>
        <v>-1096</v>
      </c>
      <c r="G34" s="3">
        <f>北海道地区!G34+東北地区!G34+関東・甲信越地区!G34+東京地区!G34+東海・北陸地区!G34+近畿・中国・四国地区!G34+九州地区!G34</f>
        <v>210</v>
      </c>
      <c r="H34" s="3">
        <f t="shared" si="0"/>
        <v>-886</v>
      </c>
      <c r="I34" s="3">
        <f t="shared" si="4"/>
        <v>3713</v>
      </c>
      <c r="J34" s="3">
        <f>北海道地区!J34+東北地区!J34+関東・甲信越地区!J34+東京地区!J34+東海・北陸地区!J34+近畿・中国・四国地区!J34+九州地区!J34</f>
        <v>-166</v>
      </c>
      <c r="K34" s="3">
        <f>北海道地区!K34+東北地区!K34+関東・甲信越地区!K34+東京地区!K34+東海・北陸地区!K34+近畿・中国・四国地区!K34+九州地区!K34</f>
        <v>0</v>
      </c>
      <c r="L34" s="4">
        <f t="shared" si="1"/>
        <v>-166</v>
      </c>
      <c r="M34" s="31"/>
      <c r="N34" s="32">
        <f t="shared" si="5"/>
        <v>29945</v>
      </c>
    </row>
    <row r="35" spans="1:14" ht="15" customHeight="1" x14ac:dyDescent="0.35">
      <c r="A35" s="2">
        <v>22</v>
      </c>
      <c r="B35" s="3">
        <f>北海道地区!B35+東北地区!B35+関東・甲信越地区!B35+東京地区!B35+東海・北陸地区!B35+近畿・中国・四国地区!B35+九州地区!B35</f>
        <v>4</v>
      </c>
      <c r="C35" s="3">
        <f>北海道地区!C35+東北地区!C35+関東・甲信越地区!C35+東京地区!C35+東海・北陸地区!C35+近畿・中国・四国地区!C35+九州地区!C35</f>
        <v>4</v>
      </c>
      <c r="D35" s="3">
        <f t="shared" si="2"/>
        <v>274</v>
      </c>
      <c r="E35" s="3">
        <f t="shared" si="3"/>
        <v>25679</v>
      </c>
      <c r="F35" s="3">
        <f>北海道地区!F35+東北地区!F35+関東・甲信越地区!F35+東京地区!F35+東海・北陸地区!F35+近畿・中国・四国地区!F35+九州地区!F35</f>
        <v>-735</v>
      </c>
      <c r="G35" s="3">
        <f>北海道地区!G35+東北地区!G35+関東・甲信越地区!G35+東京地区!G35+東海・北陸地区!G35+近畿・中国・四国地区!G35+九州地区!G35</f>
        <v>182</v>
      </c>
      <c r="H35" s="3">
        <f t="shared" si="0"/>
        <v>-553</v>
      </c>
      <c r="I35" s="3">
        <f t="shared" si="4"/>
        <v>3543</v>
      </c>
      <c r="J35" s="3">
        <f>北海道地区!J35+東北地区!J35+関東・甲信越地区!J35+東京地区!J35+東海・北陸地区!J35+近畿・中国・四国地区!J35+九州地区!J35</f>
        <v>-170</v>
      </c>
      <c r="K35" s="3">
        <f>北海道地区!K35+東北地区!K35+関東・甲信越地区!K35+東京地区!K35+東海・北陸地区!K35+近畿・中国・四国地区!K35+九州地区!K35</f>
        <v>0</v>
      </c>
      <c r="L35" s="4">
        <f t="shared" si="1"/>
        <v>-170</v>
      </c>
      <c r="M35" s="31">
        <v>0</v>
      </c>
      <c r="N35" s="32">
        <f t="shared" si="5"/>
        <v>29222</v>
      </c>
    </row>
    <row r="36" spans="1:14" ht="15" customHeight="1" x14ac:dyDescent="0.35">
      <c r="A36" s="2">
        <v>23</v>
      </c>
      <c r="B36" s="3">
        <f>北海道地区!B36+東北地区!B36+関東・甲信越地区!B36+東京地区!B36+東海・北陸地区!B36+近畿・中国・四国地区!B36+九州地区!B36</f>
        <v>1</v>
      </c>
      <c r="C36" s="3">
        <f>北海道地区!C36+東北地区!C36+関東・甲信越地区!C36+東京地区!C36+東海・北陸地区!C36+近畿・中国・四国地区!C36+九州地区!C36</f>
        <v>3</v>
      </c>
      <c r="D36" s="3">
        <f t="shared" si="2"/>
        <v>272</v>
      </c>
      <c r="E36" s="3">
        <f t="shared" si="3"/>
        <v>25185</v>
      </c>
      <c r="F36" s="3">
        <f>北海道地区!F36+東北地区!F36+関東・甲信越地区!F36+東京地区!F36+東海・北陸地区!F36+近畿・中国・四国地区!F36+九州地区!F36</f>
        <v>-534</v>
      </c>
      <c r="G36" s="3">
        <f>北海道地区!G36+東北地区!G36+関東・甲信越地区!G36+東京地区!G36+東海・北陸地区!G36+近畿・中国・四国地区!G36+九州地区!G36</f>
        <v>40</v>
      </c>
      <c r="H36" s="3">
        <f t="shared" si="0"/>
        <v>-494</v>
      </c>
      <c r="I36" s="3">
        <f t="shared" si="4"/>
        <v>3293</v>
      </c>
      <c r="J36" s="3">
        <f>北海道地区!J36+東北地区!J36+関東・甲信越地区!J36+東京地区!J36+東海・北陸地区!J36+近畿・中国・四国地区!J36+九州地区!J36</f>
        <v>-250</v>
      </c>
      <c r="K36" s="3">
        <f>北海道地区!K36+東北地区!K36+関東・甲信越地区!K36+東京地区!K36+東海・北陸地区!K36+近畿・中国・四国地区!K36+九州地区!K36</f>
        <v>0</v>
      </c>
      <c r="L36" s="4">
        <f t="shared" si="1"/>
        <v>-250</v>
      </c>
      <c r="M36" s="31"/>
      <c r="N36" s="32">
        <f t="shared" si="5"/>
        <v>28478</v>
      </c>
    </row>
    <row r="37" spans="1:14" ht="15" customHeight="1" x14ac:dyDescent="0.35">
      <c r="A37" s="2">
        <v>24</v>
      </c>
      <c r="B37" s="3">
        <f>北海道地区!B37+東北地区!B37+関東・甲信越地区!B37+東京地区!B37+東海・北陸地区!B37+近畿・中国・四国地区!B37+九州地区!B37</f>
        <v>5</v>
      </c>
      <c r="C37" s="3">
        <f>北海道地区!C37+東北地区!C37+関東・甲信越地区!C37+東京地区!C37+東海・北陸地区!C37+近畿・中国・四国地区!C37+九州地区!C37</f>
        <v>3</v>
      </c>
      <c r="D37" s="3">
        <f t="shared" si="2"/>
        <v>274</v>
      </c>
      <c r="E37" s="3">
        <f t="shared" si="3"/>
        <v>25191</v>
      </c>
      <c r="F37" s="3">
        <f>北海道地区!F37+東北地区!F37+関東・甲信越地区!F37+東京地区!F37+東海・北陸地区!F37+近畿・中国・四国地区!F37+九州地区!F37</f>
        <v>-294</v>
      </c>
      <c r="G37" s="3">
        <f>北海道地区!G37+東北地区!G37+関東・甲信越地区!G37+東京地区!G37+東海・北陸地区!G37+近畿・中国・四国地区!G37+九州地区!G37</f>
        <v>300</v>
      </c>
      <c r="H37" s="3">
        <f t="shared" si="0"/>
        <v>6</v>
      </c>
      <c r="I37" s="3">
        <f t="shared" si="4"/>
        <v>3028</v>
      </c>
      <c r="J37" s="3">
        <f>北海道地区!J37+東北地区!J37+関東・甲信越地区!J37+東京地区!J37+東海・北陸地区!J37+近畿・中国・四国地区!J37+九州地区!J37</f>
        <v>-265</v>
      </c>
      <c r="K37" s="3">
        <f>北海道地区!K37+東北地区!K37+関東・甲信越地区!K37+東京地区!K37+東海・北陸地区!K37+近畿・中国・四国地区!K37+九州地区!K37</f>
        <v>0</v>
      </c>
      <c r="L37" s="4">
        <f t="shared" si="1"/>
        <v>-265</v>
      </c>
      <c r="M37" s="31"/>
      <c r="N37" s="32">
        <f t="shared" si="5"/>
        <v>28219</v>
      </c>
    </row>
    <row r="38" spans="1:14" ht="15" customHeight="1" x14ac:dyDescent="0.35">
      <c r="A38" s="2">
        <v>25</v>
      </c>
      <c r="B38" s="3">
        <f>北海道地区!B38+東北地区!B38+関東・甲信越地区!B38+東京地区!B38+東海・北陸地区!B38+近畿・中国・四国地区!B38+九州地区!B38</f>
        <v>3</v>
      </c>
      <c r="C38" s="3">
        <f>北海道地区!C38+東北地区!C38+関東・甲信越地区!C38+東京地区!C38+東海・北陸地区!C38+近畿・中国・四国地区!C38+九州地区!C38</f>
        <v>3</v>
      </c>
      <c r="D38" s="3">
        <f t="shared" si="2"/>
        <v>274</v>
      </c>
      <c r="E38" s="3">
        <f t="shared" si="3"/>
        <v>25103</v>
      </c>
      <c r="F38" s="3">
        <f>北海道地区!F38+東北地区!F38+関東・甲信越地区!F38+東京地区!F38+東海・北陸地区!F38+近畿・中国・四国地区!F38+九州地区!F38</f>
        <v>-204</v>
      </c>
      <c r="G38" s="3">
        <f>北海道地区!G38+東北地区!G38+関東・甲信越地区!G38+東京地区!G38+東海・北陸地区!G38+近畿・中国・四国地区!G38+九州地区!G38</f>
        <v>116</v>
      </c>
      <c r="H38" s="3">
        <f t="shared" si="0"/>
        <v>-88</v>
      </c>
      <c r="I38" s="3">
        <f t="shared" si="4"/>
        <v>2808</v>
      </c>
      <c r="J38" s="3">
        <f>北海道地区!J38+東北地区!J38+関東・甲信越地区!J38+東京地区!J38+東海・北陸地区!J38+近畿・中国・四国地区!J38+九州地区!J38</f>
        <v>-220</v>
      </c>
      <c r="K38" s="3">
        <f>北海道地区!K38+東北地区!K38+関東・甲信越地区!K38+東京地区!K38+東海・北陸地区!K38+近畿・中国・四国地区!K38+九州地区!K38</f>
        <v>0</v>
      </c>
      <c r="L38" s="4">
        <f t="shared" si="1"/>
        <v>-220</v>
      </c>
      <c r="M38" s="31"/>
      <c r="N38" s="32">
        <f t="shared" si="5"/>
        <v>27911</v>
      </c>
    </row>
    <row r="39" spans="1:14" ht="15" customHeight="1" x14ac:dyDescent="0.35">
      <c r="A39" s="2">
        <v>26</v>
      </c>
      <c r="B39" s="3">
        <f>北海道地区!B39+東北地区!B39+関東・甲信越地区!B39+東京地区!B39+東海・北陸地区!B39+近畿・中国・四国地区!B39+九州地区!B39</f>
        <v>2</v>
      </c>
      <c r="C39" s="3">
        <f>北海道地区!C39+東北地区!C39+関東・甲信越地区!C39+東京地区!C39+東海・北陸地区!C39+近畿・中国・四国地区!C39+九州地区!C39</f>
        <v>4</v>
      </c>
      <c r="D39" s="3">
        <f t="shared" si="2"/>
        <v>272</v>
      </c>
      <c r="E39" s="3">
        <f t="shared" ref="E39:E43" si="6">E38+F39+G39</f>
        <v>24988</v>
      </c>
      <c r="F39" s="3">
        <f>北海道地区!F39+東北地区!F39+関東・甲信越地区!F39+東京地区!F39+東海・北陸地区!F39+近畿・中国・四国地区!F39+九州地区!F39</f>
        <v>-230</v>
      </c>
      <c r="G39" s="3">
        <f>北海道地区!G39+東北地区!G39+関東・甲信越地区!G39+東京地区!G39+東海・北陸地区!G39+近畿・中国・四国地区!G39+九州地区!G39</f>
        <v>115</v>
      </c>
      <c r="H39" s="3">
        <f t="shared" si="0"/>
        <v>-115</v>
      </c>
      <c r="I39" s="3">
        <f t="shared" si="4"/>
        <v>2668</v>
      </c>
      <c r="J39" s="3">
        <f>北海道地区!J39+東北地区!J39+関東・甲信越地区!J39+東京地区!J39+東海・北陸地区!J39+近畿・中国・四国地区!J39+九州地区!J39</f>
        <v>-140</v>
      </c>
      <c r="K39" s="3">
        <f>北海道地区!K39+東北地区!K39+関東・甲信越地区!K39+東京地区!K39+東海・北陸地区!K39+近畿・中国・四国地区!K39+九州地区!K39</f>
        <v>0</v>
      </c>
      <c r="L39" s="4">
        <f t="shared" si="1"/>
        <v>-140</v>
      </c>
      <c r="M39" s="31"/>
      <c r="N39" s="32">
        <f>E39+I39</f>
        <v>27656</v>
      </c>
    </row>
    <row r="40" spans="1:14" ht="15" customHeight="1" x14ac:dyDescent="0.35">
      <c r="A40" s="2">
        <v>27</v>
      </c>
      <c r="B40" s="3">
        <f>北海道地区!B40+東北地区!B40+関東・甲信越地区!B40+東京地区!B40+東海・北陸地区!B40+近畿・中国・四国地区!B40+九州地区!B40</f>
        <v>3</v>
      </c>
      <c r="C40" s="3">
        <f>北海道地区!C40+東北地区!C40+関東・甲信越地区!C40+東京地区!C40+東海・北陸地区!C40+近畿・中国・四国地区!C40+九州地区!C40</f>
        <v>1</v>
      </c>
      <c r="D40" s="3">
        <f t="shared" ref="D40:D45" si="7">D39+B40-C40</f>
        <v>274</v>
      </c>
      <c r="E40" s="3">
        <f t="shared" si="6"/>
        <v>24984</v>
      </c>
      <c r="F40" s="3">
        <f>北海道地区!F40+東北地区!F40+関東・甲信越地区!F40+東京地区!F40+東海・北陸地区!F40+近畿・中国・四国地区!F40+九州地区!F40</f>
        <v>-94</v>
      </c>
      <c r="G40" s="3">
        <f>北海道地区!G40+東北地区!G40+関東・甲信越地区!G40+東京地区!G40+東海・北陸地区!G40+近畿・中国・四国地区!G40+九州地区!G40</f>
        <v>90</v>
      </c>
      <c r="H40" s="3">
        <f t="shared" ref="H40:H45" si="8">SUM(F40:G40)</f>
        <v>-4</v>
      </c>
      <c r="I40" s="3">
        <f t="shared" ref="I40:I46" si="9">I39+J40+K40</f>
        <v>2763</v>
      </c>
      <c r="J40" s="3">
        <f>北海道地区!J40+東北地区!J40+関東・甲信越地区!J40+東京地区!J40+東海・北陸地区!J40+近畿・中国・四国地区!J40+九州地区!J40</f>
        <v>95</v>
      </c>
      <c r="K40" s="3">
        <f>北海道地区!K40+東北地区!K40+関東・甲信越地区!K40+東京地区!K40+東海・北陸地区!K40+近畿・中国・四国地区!K40+九州地区!K40</f>
        <v>0</v>
      </c>
      <c r="L40" s="4">
        <f t="shared" ref="L40:L46" si="10">SUM(J40:K40)</f>
        <v>95</v>
      </c>
      <c r="N40" s="32">
        <f t="shared" si="5"/>
        <v>27747</v>
      </c>
    </row>
    <row r="41" spans="1:14" ht="15" customHeight="1" x14ac:dyDescent="0.35">
      <c r="A41" s="2">
        <v>28</v>
      </c>
      <c r="B41" s="3">
        <f>北海道地区!B41+東北地区!B41+関東・甲信越地区!B41+東京地区!B41+東海・北陸地区!B41+近畿・中国・四国地区!B41+九州地区!B41</f>
        <v>5</v>
      </c>
      <c r="C41" s="3">
        <f>北海道地区!C41+東北地区!C41+関東・甲信越地区!C41+東京地区!C41+東海・北陸地区!C41+近畿・中国・四国地区!C41+九州地区!C41</f>
        <v>3</v>
      </c>
      <c r="D41" s="3">
        <f t="shared" si="7"/>
        <v>276</v>
      </c>
      <c r="E41" s="3">
        <f t="shared" si="6"/>
        <v>25014</v>
      </c>
      <c r="F41" s="3">
        <f>北海道地区!F41+東北地区!F41+関東・甲信越地区!F41+東京地区!F41+東海・北陸地区!F41+近畿・中国・四国地区!F41+九州地区!F41</f>
        <v>-355</v>
      </c>
      <c r="G41" s="3">
        <f>北海道地区!G41+東北地区!G41+関東・甲信越地区!G41+東京地区!G41+東海・北陸地区!G41+近畿・中国・四国地区!G41+九州地区!G41</f>
        <v>385</v>
      </c>
      <c r="H41" s="3">
        <f t="shared" si="8"/>
        <v>30</v>
      </c>
      <c r="I41" s="3">
        <f t="shared" si="9"/>
        <v>2678</v>
      </c>
      <c r="J41" s="3">
        <f>北海道地区!J41+東北地区!J41+関東・甲信越地区!J41+東京地区!J41+東海・北陸地区!J41+近畿・中国・四国地区!J41+九州地区!J41</f>
        <v>-85</v>
      </c>
      <c r="K41" s="3">
        <f>北海道地区!K41+東北地区!K41+関東・甲信越地区!K41+東京地区!K41+東海・北陸地区!K41+近畿・中国・四国地区!K41+九州地区!K41</f>
        <v>0</v>
      </c>
      <c r="L41" s="4">
        <f t="shared" si="10"/>
        <v>-85</v>
      </c>
      <c r="N41" s="32">
        <f t="shared" si="5"/>
        <v>27692</v>
      </c>
    </row>
    <row r="42" spans="1:14" ht="15" customHeight="1" x14ac:dyDescent="0.35">
      <c r="A42" s="2">
        <v>29</v>
      </c>
      <c r="B42" s="3">
        <f>北海道地区!B42+東北地区!B42+関東・甲信越地区!B42+東京地区!B42+東海・北陸地区!B42+近畿・中国・四国地区!B42+九州地区!B42</f>
        <v>6</v>
      </c>
      <c r="C42" s="3">
        <f>北海道地区!C42+東北地区!C42+関東・甲信越地区!C42+東京地区!C42+東海・北陸地区!C42+近畿・中国・四国地区!C42+九州地区!C42</f>
        <v>3</v>
      </c>
      <c r="D42" s="3">
        <f t="shared" si="7"/>
        <v>279</v>
      </c>
      <c r="E42" s="3">
        <f t="shared" si="6"/>
        <v>25114</v>
      </c>
      <c r="F42" s="3">
        <f>北海道地区!F42+東北地区!F42+関東・甲信越地区!F42+東京地区!F42+東海・北陸地区!F42+近畿・中国・四国地区!F42+九州地区!F42</f>
        <v>-190</v>
      </c>
      <c r="G42" s="3">
        <f>北海道地区!G42+東北地区!G42+関東・甲信越地区!G42+東京地区!G42+東海・北陸地区!G42+近畿・中国・四国地区!G42+九州地区!G42</f>
        <v>290</v>
      </c>
      <c r="H42" s="3">
        <f t="shared" si="8"/>
        <v>100</v>
      </c>
      <c r="I42" s="3">
        <f t="shared" si="9"/>
        <v>2598</v>
      </c>
      <c r="J42" s="3">
        <f>北海道地区!J42+東北地区!J42+関東・甲信越地区!J42+東京地区!J42+東海・北陸地区!J42+近畿・中国・四国地区!J42+九州地区!J42</f>
        <v>-100</v>
      </c>
      <c r="K42" s="3">
        <f>北海道地区!K42+東北地区!K42+関東・甲信越地区!K42+東京地区!K42+東海・北陸地区!K42+近畿・中国・四国地区!K42+九州地区!K42</f>
        <v>20</v>
      </c>
      <c r="L42" s="4">
        <f t="shared" si="10"/>
        <v>-80</v>
      </c>
      <c r="N42" s="32">
        <f t="shared" si="5"/>
        <v>27712</v>
      </c>
    </row>
    <row r="43" spans="1:14" ht="15" customHeight="1" x14ac:dyDescent="0.35">
      <c r="A43" s="2">
        <v>30</v>
      </c>
      <c r="B43" s="3">
        <v>5</v>
      </c>
      <c r="C43" s="3">
        <v>1</v>
      </c>
      <c r="D43" s="3">
        <f t="shared" si="7"/>
        <v>283</v>
      </c>
      <c r="E43" s="3">
        <f t="shared" si="6"/>
        <v>25107</v>
      </c>
      <c r="F43" s="3">
        <f>北海道地区!F43+東北地区!F43+関東・甲信越地区!F43+東京地区!F43+東海・北陸地区!F43+近畿・中国・四国地区!F43+九州地区!F43</f>
        <v>-172</v>
      </c>
      <c r="G43" s="3">
        <f>北海道地区!G43+東北地区!G43+関東・甲信越地区!G43+東京地区!G43+東海・北陸地区!G43+近畿・中国・四国地区!G43+九州地区!G43</f>
        <v>165</v>
      </c>
      <c r="H43" s="3">
        <f t="shared" si="8"/>
        <v>-7</v>
      </c>
      <c r="I43" s="3">
        <f t="shared" si="9"/>
        <v>2403</v>
      </c>
      <c r="J43" s="3">
        <f>北海道地区!J43+東北地区!J43+関東・甲信越地区!J43+東京地区!J43+東海・北陸地区!J43+近畿・中国・四国地区!J43+九州地区!J43</f>
        <v>-195</v>
      </c>
      <c r="K43" s="3">
        <f>北海道地区!K43+東北地区!K43+関東・甲信越地区!K43+東京地区!K43+東海・北陸地区!K43+近畿・中国・四国地区!K43+九州地区!K43</f>
        <v>0</v>
      </c>
      <c r="L43" s="4">
        <f t="shared" si="10"/>
        <v>-195</v>
      </c>
      <c r="N43" s="32">
        <f t="shared" si="5"/>
        <v>27510</v>
      </c>
    </row>
    <row r="44" spans="1:14" ht="15" customHeight="1" x14ac:dyDescent="0.35">
      <c r="A44" s="2">
        <v>31</v>
      </c>
      <c r="B44" s="3">
        <v>5</v>
      </c>
      <c r="C44" s="3">
        <v>6</v>
      </c>
      <c r="D44" s="3">
        <f t="shared" si="7"/>
        <v>282</v>
      </c>
      <c r="E44" s="3">
        <f t="shared" ref="E44:E49" si="11">E43+F44+G44</f>
        <v>24913</v>
      </c>
      <c r="F44" s="3">
        <f>北海道地区!F44+東北地区!F44+関東・甲信越地区!F44+東京地区!F44+東海・北陸地区!F44+近畿・中国・四国地区!F44+九州地区!F44</f>
        <v>-674</v>
      </c>
      <c r="G44" s="3">
        <f>北海道地区!G44+東北地区!G44+関東・甲信越地区!G44+東京地区!G44+東海・北陸地区!G44+近畿・中国・四国地区!G44+九州地区!G44</f>
        <v>480</v>
      </c>
      <c r="H44" s="3">
        <f t="shared" si="8"/>
        <v>-194</v>
      </c>
      <c r="I44" s="3">
        <f t="shared" si="9"/>
        <v>2338</v>
      </c>
      <c r="J44" s="3">
        <f>北海道地区!J44+東北地区!J44+関東・甲信越地区!J44+東京地区!J44+東海・北陸地区!J44+近畿・中国・四国地区!J44+九州地区!J44</f>
        <v>-65</v>
      </c>
      <c r="K44" s="3">
        <f>北海道地区!K44+東北地区!K44+関東・甲信越地区!K44+東京地区!K44+東海・北陸地区!K44+近畿・中国・四国地区!K44+九州地区!K44</f>
        <v>0</v>
      </c>
      <c r="L44" s="4">
        <f t="shared" si="10"/>
        <v>-65</v>
      </c>
      <c r="N44" s="32">
        <f t="shared" ref="N44:N49" si="12">E44+I44</f>
        <v>27251</v>
      </c>
    </row>
    <row r="45" spans="1:14" ht="15" customHeight="1" x14ac:dyDescent="0.35">
      <c r="A45" s="2" t="s">
        <v>39</v>
      </c>
      <c r="B45" s="3">
        <v>2</v>
      </c>
      <c r="C45" s="3">
        <v>1</v>
      </c>
      <c r="D45" s="3">
        <f t="shared" si="7"/>
        <v>283</v>
      </c>
      <c r="E45" s="3">
        <f t="shared" si="11"/>
        <v>24415</v>
      </c>
      <c r="F45" s="3">
        <f>北海道地区!F45+東北地区!F45+関東・甲信越地区!F45+東京地区!F45+東海・北陸地区!F45+近畿・中国・四国地区!F45+九州地区!F45</f>
        <v>-610</v>
      </c>
      <c r="G45" s="3">
        <f>北海道地区!G45+東北地区!G45+関東・甲信越地区!G45+東京地区!G45+東海・北陸地区!G45+近畿・中国・四国地区!G45+九州地区!G45</f>
        <v>112</v>
      </c>
      <c r="H45" s="3">
        <f t="shared" si="8"/>
        <v>-498</v>
      </c>
      <c r="I45" s="3">
        <f t="shared" si="9"/>
        <v>2228</v>
      </c>
      <c r="J45" s="3">
        <f>北海道地区!J45+東北地区!J45+関東・甲信越地区!J45+東京地区!J45+東海・北陸地区!J45+近畿・中国・四国地区!J45+九州地区!J45</f>
        <v>-110</v>
      </c>
      <c r="K45" s="3">
        <f>北海道地区!K45+東北地区!K45+関東・甲信越地区!K45+東京地区!K45+東海・北陸地区!K45+近畿・中国・四国地区!K45+九州地区!K45</f>
        <v>0</v>
      </c>
      <c r="L45" s="4">
        <f t="shared" si="10"/>
        <v>-110</v>
      </c>
      <c r="N45" s="32">
        <f t="shared" si="12"/>
        <v>26643</v>
      </c>
    </row>
    <row r="46" spans="1:14" ht="15" customHeight="1" x14ac:dyDescent="0.35">
      <c r="A46" s="2">
        <v>3</v>
      </c>
      <c r="B46" s="28">
        <v>2</v>
      </c>
      <c r="C46" s="31">
        <v>5</v>
      </c>
      <c r="D46" s="3">
        <f t="shared" ref="D46" si="13">D45+B46-C46</f>
        <v>280</v>
      </c>
      <c r="E46" s="3">
        <f t="shared" si="11"/>
        <v>23589</v>
      </c>
      <c r="F46" s="3">
        <f>北海道地区!F46+東北地区!F46+関東・甲信越地区!F46+東京地区!F46+東海・北陸地区!F46+近畿・中国・四国地区!F46+九州地区!F46</f>
        <v>-906</v>
      </c>
      <c r="G46" s="3">
        <f>北海道地区!G46+東北地区!G46+関東・甲信越地区!G46+東京地区!G46+東海・北陸地区!G46+近畿・中国・四国地区!G46+九州地区!G46</f>
        <v>80</v>
      </c>
      <c r="H46" s="28">
        <f>SUM(F46:G46)</f>
        <v>-826</v>
      </c>
      <c r="I46" s="3">
        <f t="shared" si="9"/>
        <v>2028</v>
      </c>
      <c r="J46" s="3">
        <f>北海道地区!J46+東北地区!J46+関東・甲信越地区!J46+東京地区!J46+東海・北陸地区!J46+近畿・中国・四国地区!J46+九州地区!J46</f>
        <v>-200</v>
      </c>
      <c r="K46" s="31">
        <v>0</v>
      </c>
      <c r="L46" s="4">
        <f t="shared" si="10"/>
        <v>-200</v>
      </c>
      <c r="N46" s="32">
        <f t="shared" si="12"/>
        <v>25617</v>
      </c>
    </row>
    <row r="47" spans="1:14" ht="15" customHeight="1" x14ac:dyDescent="0.35">
      <c r="A47" s="2">
        <v>4</v>
      </c>
      <c r="B47" s="28">
        <v>1</v>
      </c>
      <c r="C47" s="31">
        <v>6</v>
      </c>
      <c r="D47" s="3">
        <f t="shared" ref="D47" si="14">D46+B47-C47</f>
        <v>275</v>
      </c>
      <c r="E47" s="3">
        <f t="shared" si="11"/>
        <v>22720</v>
      </c>
      <c r="F47" s="3">
        <f>北海道地区!F47+東北地区!F47+関東・甲信越地区!F47+東京地区!F47+東海・北陸地区!F47+近畿・中国・四国地区!F47+九州地区!F47</f>
        <v>-899</v>
      </c>
      <c r="G47" s="3">
        <f>北海道地区!G47+東北地区!G47+関東・甲信越地区!G47+東京地区!G47+東海・北陸地区!G47+近畿・中国・四国地区!G47+九州地区!G47</f>
        <v>30</v>
      </c>
      <c r="H47" s="28">
        <f>SUM(F47:G47)</f>
        <v>-869</v>
      </c>
      <c r="I47" s="3">
        <f t="shared" ref="I47" si="15">I46+J47+K47</f>
        <v>1968</v>
      </c>
      <c r="J47" s="3">
        <f>北海道地区!J47+東北地区!J47+関東・甲信越地区!J47+東京地区!J47+東海・北陸地区!J47+近畿・中国・四国地区!J47+九州地区!J47</f>
        <v>-60</v>
      </c>
      <c r="K47" s="31">
        <v>0</v>
      </c>
      <c r="L47" s="4">
        <f t="shared" ref="L47" si="16">SUM(J47:K47)</f>
        <v>-60</v>
      </c>
      <c r="N47" s="32">
        <f t="shared" si="12"/>
        <v>24688</v>
      </c>
    </row>
    <row r="48" spans="1:14" ht="15" customHeight="1" x14ac:dyDescent="0.35">
      <c r="A48" s="2">
        <v>5</v>
      </c>
      <c r="B48" s="28">
        <v>1</v>
      </c>
      <c r="C48" s="31">
        <v>6</v>
      </c>
      <c r="D48" s="3">
        <f t="shared" ref="D48" si="17">D47+B48-C48</f>
        <v>270</v>
      </c>
      <c r="E48" s="3">
        <f t="shared" si="11"/>
        <v>22090</v>
      </c>
      <c r="F48" s="3">
        <f>北海道地区!F48+東北地区!F48+関東・甲信越地区!F48+東京地区!F48+東海・北陸地区!F48+近畿・中国・四国地区!F48+九州地区!F48</f>
        <v>-710</v>
      </c>
      <c r="G48" s="3">
        <f>北海道地区!G48+東北地区!G48+関東・甲信越地区!G48+東京地区!G48+東海・北陸地区!G48+近畿・中国・四国地区!G48+九州地区!G48</f>
        <v>80</v>
      </c>
      <c r="H48" s="28">
        <f>SUM(F48:G48)</f>
        <v>-630</v>
      </c>
      <c r="I48" s="3">
        <f t="shared" ref="I48" si="18">I47+J48+K48</f>
        <v>1878</v>
      </c>
      <c r="J48" s="3">
        <f>北海道地区!J48+東北地区!J48+関東・甲信越地区!J48+東京地区!J48+東海・北陸地区!J48+近畿・中国・四国地区!J48+九州地区!J48</f>
        <v>-90</v>
      </c>
      <c r="K48" s="31">
        <v>0</v>
      </c>
      <c r="L48" s="4">
        <f t="shared" ref="L48" si="19">SUM(J48:K48)</f>
        <v>-90</v>
      </c>
      <c r="N48" s="32">
        <f t="shared" si="12"/>
        <v>23968</v>
      </c>
    </row>
    <row r="49" spans="1:14" ht="15" customHeight="1" x14ac:dyDescent="0.35">
      <c r="A49" s="2">
        <v>6</v>
      </c>
      <c r="B49" s="28">
        <v>2</v>
      </c>
      <c r="C49" s="31">
        <v>2</v>
      </c>
      <c r="D49" s="3">
        <f t="shared" ref="D49" si="20">D48+B49-C49</f>
        <v>270</v>
      </c>
      <c r="E49" s="3">
        <f t="shared" si="11"/>
        <v>21470</v>
      </c>
      <c r="F49" s="3">
        <f>北海道地区!F49+東北地区!F49+関東・甲信越地区!F49+東京地区!F49+東海・北陸地区!F49+近畿・中国・四国地区!F49+九州地区!F49</f>
        <v>-860</v>
      </c>
      <c r="G49" s="3">
        <f>北海道地区!G49+東北地区!G49+関東・甲信越地区!G49+東京地区!G49+東海・北陸地区!G49+近畿・中国・四国地区!G49+九州地区!G49</f>
        <v>240</v>
      </c>
      <c r="H49" s="28">
        <f>SUM(F49:G49)</f>
        <v>-620</v>
      </c>
      <c r="I49" s="3">
        <f t="shared" ref="I49" si="21">I48+J49+K49</f>
        <v>1768</v>
      </c>
      <c r="J49" s="3">
        <f>北海道地区!J49+東北地区!J49+関東・甲信越地区!J49+東京地区!J49+東海・北陸地区!J49+近畿・中国・四国地区!J49+九州地区!J49</f>
        <v>-110</v>
      </c>
      <c r="K49" s="31">
        <v>0</v>
      </c>
      <c r="L49" s="4">
        <f t="shared" ref="L49" si="22">SUM(J49:K49)</f>
        <v>-110</v>
      </c>
      <c r="N49" s="32">
        <f t="shared" si="12"/>
        <v>23238</v>
      </c>
    </row>
    <row r="50" spans="1:14" ht="15" customHeight="1" x14ac:dyDescent="0.35">
      <c r="A50" s="5">
        <v>7</v>
      </c>
      <c r="B50" s="33">
        <v>1</v>
      </c>
      <c r="C50" s="34">
        <v>5</v>
      </c>
      <c r="D50" s="6">
        <f t="shared" ref="D50" si="23">D49+B50-C50</f>
        <v>266</v>
      </c>
      <c r="E50" s="6">
        <f>E49+F50+G50</f>
        <v>20796</v>
      </c>
      <c r="F50" s="6">
        <f>北海道地区!F50+東北地区!F50+関東・甲信越地区!F50+東京地区!F50+東海・北陸地区!F50+近畿・中国・四国地区!F50+九州地区!F50</f>
        <v>-694</v>
      </c>
      <c r="G50" s="6">
        <f>北海道地区!G50+東北地区!G50+関東・甲信越地区!G50+東京地区!G50+東海・北陸地区!G50+近畿・中国・四国地区!G50+九州地区!G50</f>
        <v>20</v>
      </c>
      <c r="H50" s="33">
        <f>SUM(F50:G50)</f>
        <v>-674</v>
      </c>
      <c r="I50" s="6">
        <f t="shared" ref="I50" si="24">I49+J50+K50</f>
        <v>1628</v>
      </c>
      <c r="J50" s="6">
        <f>北海道地区!J50+東北地区!J50+関東・甲信越地区!J50+東京地区!J50+東海・北陸地区!J50+近畿・中国・四国地区!J50+九州地区!J50</f>
        <v>-140</v>
      </c>
      <c r="K50" s="34">
        <v>0</v>
      </c>
      <c r="L50" s="12">
        <f t="shared" ref="L50" si="25">SUM(J50:K50)</f>
        <v>-140</v>
      </c>
      <c r="N50" s="32">
        <f t="shared" ref="N50" si="26">E50+I50</f>
        <v>22424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45"/>
      <c r="G51" s="42" t="s">
        <v>27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B4:D4"/>
    <mergeCell ref="A1:L1"/>
    <mergeCell ref="H3:L3"/>
    <mergeCell ref="E4:L4"/>
    <mergeCell ref="G51:L51"/>
    <mergeCell ref="F5:H5"/>
    <mergeCell ref="J5:L5"/>
    <mergeCell ref="A51:F51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8"/>
  <sheetViews>
    <sheetView showOutlineSymbols="0" zoomScaleNormal="100" zoomScaleSheetLayoutView="100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5" customHeight="1" x14ac:dyDescent="0.35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5" customHeight="1" x14ac:dyDescent="0.35">
      <c r="D2" s="7"/>
      <c r="F2" s="7"/>
      <c r="G2" s="7"/>
    </row>
    <row r="3" spans="1:12" ht="18.75" customHeight="1" x14ac:dyDescent="0.35">
      <c r="A3" s="51" t="s">
        <v>8</v>
      </c>
      <c r="B3" s="51"/>
      <c r="D3" s="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3"/>
      <c r="B6" s="43"/>
      <c r="C6" s="43"/>
      <c r="D6" s="43"/>
      <c r="E6" s="43"/>
      <c r="F6" s="20" t="s">
        <v>5</v>
      </c>
      <c r="G6" s="20" t="s">
        <v>6</v>
      </c>
      <c r="H6" s="18" t="s">
        <v>7</v>
      </c>
      <c r="I6" s="49"/>
      <c r="J6" s="20" t="s">
        <v>5</v>
      </c>
      <c r="K6" s="20" t="s">
        <v>6</v>
      </c>
      <c r="L6" s="19" t="s">
        <v>7</v>
      </c>
    </row>
    <row r="7" spans="1:12" ht="15" customHeight="1" x14ac:dyDescent="0.35">
      <c r="A7" s="16" t="s">
        <v>15</v>
      </c>
      <c r="B7" s="9">
        <f>1+2</f>
        <v>3</v>
      </c>
      <c r="C7" s="9">
        <v>0</v>
      </c>
      <c r="D7" s="9">
        <f>B7-C7</f>
        <v>3</v>
      </c>
      <c r="E7" s="9">
        <f>SUM(F7:G7)</f>
        <v>100</v>
      </c>
      <c r="F7" s="9">
        <v>0</v>
      </c>
      <c r="G7" s="9">
        <v>100</v>
      </c>
      <c r="H7" s="9">
        <f>SUM(F7:G7)</f>
        <v>100</v>
      </c>
      <c r="I7" s="9">
        <f>SUM(J7:K7)</f>
        <v>40</v>
      </c>
      <c r="J7" s="9">
        <v>0</v>
      </c>
      <c r="K7" s="9">
        <v>40</v>
      </c>
      <c r="L7" s="10">
        <f>SUM(J7:K7)</f>
        <v>40</v>
      </c>
    </row>
    <row r="8" spans="1:12" ht="15" customHeight="1" x14ac:dyDescent="0.35">
      <c r="A8" s="27" t="s">
        <v>16</v>
      </c>
      <c r="B8" s="3">
        <f>1+2</f>
        <v>3</v>
      </c>
      <c r="C8" s="3">
        <v>0</v>
      </c>
      <c r="D8" s="3">
        <f>D7+B8-C8</f>
        <v>6</v>
      </c>
      <c r="E8" s="3">
        <f>E7+F8+G8</f>
        <v>245</v>
      </c>
      <c r="F8" s="3">
        <v>10</v>
      </c>
      <c r="G8" s="3">
        <f>45+90</f>
        <v>135</v>
      </c>
      <c r="H8" s="3">
        <f t="shared" ref="H8:H41" si="0">SUM(F8:G8)</f>
        <v>145</v>
      </c>
      <c r="I8" s="3">
        <f>I7+J8+K8</f>
        <v>85</v>
      </c>
      <c r="J8" s="3">
        <v>0</v>
      </c>
      <c r="K8" s="3">
        <v>45</v>
      </c>
      <c r="L8" s="4">
        <f t="shared" ref="L8:L46" si="1">SUM(J8:K8)</f>
        <v>45</v>
      </c>
    </row>
    <row r="9" spans="1:12" ht="15" customHeight="1" x14ac:dyDescent="0.35">
      <c r="A9" s="27" t="s">
        <v>17</v>
      </c>
      <c r="B9" s="3">
        <f>3+1+4+2</f>
        <v>10</v>
      </c>
      <c r="C9" s="3">
        <v>1</v>
      </c>
      <c r="D9" s="3">
        <f t="shared" ref="D9:D44" si="2">D8+B9-C9</f>
        <v>15</v>
      </c>
      <c r="E9" s="3">
        <f>E8+F9+G9</f>
        <v>897</v>
      </c>
      <c r="F9" s="3">
        <f>-100+50+85+85</f>
        <v>120</v>
      </c>
      <c r="G9" s="3">
        <f>187+50+195+100</f>
        <v>532</v>
      </c>
      <c r="H9" s="3">
        <f t="shared" si="0"/>
        <v>652</v>
      </c>
      <c r="I9" s="3">
        <f t="shared" ref="I9:I49" si="3">I8+J9+K9</f>
        <v>330</v>
      </c>
      <c r="J9" s="3">
        <f>40-10+30</f>
        <v>60</v>
      </c>
      <c r="K9" s="3">
        <f>50+95+40</f>
        <v>185</v>
      </c>
      <c r="L9" s="4">
        <f t="shared" si="1"/>
        <v>245</v>
      </c>
    </row>
    <row r="10" spans="1:12" ht="15" customHeight="1" x14ac:dyDescent="0.35">
      <c r="A10" s="2" t="s">
        <v>18</v>
      </c>
      <c r="B10" s="3">
        <f>1+1+2</f>
        <v>4</v>
      </c>
      <c r="C10" s="3">
        <v>1</v>
      </c>
      <c r="D10" s="3">
        <f t="shared" si="2"/>
        <v>18</v>
      </c>
      <c r="E10" s="3">
        <f>E9+F10+G10</f>
        <v>1335</v>
      </c>
      <c r="F10" s="3">
        <f>80+75+98-50</f>
        <v>203</v>
      </c>
      <c r="G10" s="3">
        <f>40+45+150</f>
        <v>235</v>
      </c>
      <c r="H10" s="3">
        <f t="shared" si="0"/>
        <v>438</v>
      </c>
      <c r="I10" s="3">
        <f t="shared" si="3"/>
        <v>425</v>
      </c>
      <c r="J10" s="3">
        <v>50</v>
      </c>
      <c r="K10" s="3">
        <v>45</v>
      </c>
      <c r="L10" s="4">
        <f t="shared" si="1"/>
        <v>95</v>
      </c>
    </row>
    <row r="11" spans="1:12" ht="15" customHeight="1" x14ac:dyDescent="0.35">
      <c r="A11" s="2" t="s">
        <v>19</v>
      </c>
      <c r="B11" s="3">
        <v>1</v>
      </c>
      <c r="C11" s="3">
        <v>0</v>
      </c>
      <c r="D11" s="3">
        <f t="shared" si="2"/>
        <v>19</v>
      </c>
      <c r="E11" s="3">
        <f t="shared" ref="E11:E44" si="4">E10+F11+G11</f>
        <v>1690</v>
      </c>
      <c r="F11" s="3">
        <f>50+80+70+55</f>
        <v>255</v>
      </c>
      <c r="G11" s="3">
        <v>100</v>
      </c>
      <c r="H11" s="3">
        <f t="shared" si="0"/>
        <v>355</v>
      </c>
      <c r="I11" s="3">
        <f t="shared" si="3"/>
        <v>335</v>
      </c>
      <c r="J11" s="3">
        <f>-45-45</f>
        <v>-90</v>
      </c>
      <c r="K11" s="3">
        <v>0</v>
      </c>
      <c r="L11" s="4">
        <f t="shared" si="1"/>
        <v>-90</v>
      </c>
    </row>
    <row r="12" spans="1:12" ht="15" customHeight="1" x14ac:dyDescent="0.35">
      <c r="A12" s="2" t="s">
        <v>23</v>
      </c>
      <c r="B12" s="3">
        <v>0</v>
      </c>
      <c r="C12" s="3">
        <v>2</v>
      </c>
      <c r="D12" s="3">
        <f t="shared" si="2"/>
        <v>17</v>
      </c>
      <c r="E12" s="3">
        <f t="shared" si="4"/>
        <v>1520</v>
      </c>
      <c r="F12" s="3">
        <f>-20-150</f>
        <v>-170</v>
      </c>
      <c r="G12" s="3">
        <v>0</v>
      </c>
      <c r="H12" s="3">
        <f t="shared" si="0"/>
        <v>-170</v>
      </c>
      <c r="I12" s="3">
        <f t="shared" si="3"/>
        <v>380</v>
      </c>
      <c r="J12" s="3">
        <f>45-45+45-45+45</f>
        <v>45</v>
      </c>
      <c r="K12" s="3">
        <v>0</v>
      </c>
      <c r="L12" s="4">
        <f t="shared" si="1"/>
        <v>45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17</v>
      </c>
      <c r="E13" s="3">
        <f t="shared" si="4"/>
        <v>1565</v>
      </c>
      <c r="F13" s="3">
        <v>45</v>
      </c>
      <c r="G13" s="3">
        <v>0</v>
      </c>
      <c r="H13" s="3">
        <f t="shared" si="0"/>
        <v>45</v>
      </c>
      <c r="I13" s="3">
        <f t="shared" si="3"/>
        <v>335</v>
      </c>
      <c r="J13" s="3">
        <v>-45</v>
      </c>
      <c r="K13" s="3">
        <v>0</v>
      </c>
      <c r="L13" s="4">
        <f t="shared" si="1"/>
        <v>-45</v>
      </c>
    </row>
    <row r="14" spans="1:12" ht="15" customHeight="1" x14ac:dyDescent="0.35">
      <c r="A14" s="2" t="s">
        <v>38</v>
      </c>
      <c r="B14" s="3">
        <v>0</v>
      </c>
      <c r="C14" s="3">
        <v>1</v>
      </c>
      <c r="D14" s="3">
        <f t="shared" si="2"/>
        <v>16</v>
      </c>
      <c r="E14" s="3">
        <f t="shared" si="4"/>
        <v>1550</v>
      </c>
      <c r="F14" s="3">
        <v>-15</v>
      </c>
      <c r="G14" s="3">
        <v>0</v>
      </c>
      <c r="H14" s="3">
        <f t="shared" si="0"/>
        <v>-15</v>
      </c>
      <c r="I14" s="3">
        <f t="shared" si="3"/>
        <v>295</v>
      </c>
      <c r="J14" s="3">
        <v>-40</v>
      </c>
      <c r="K14" s="3">
        <v>0</v>
      </c>
      <c r="L14" s="4">
        <f t="shared" si="1"/>
        <v>-40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2"/>
        <v>16</v>
      </c>
      <c r="E15" s="3">
        <f t="shared" si="4"/>
        <v>1510</v>
      </c>
      <c r="F15" s="3">
        <v>-40</v>
      </c>
      <c r="G15" s="3">
        <v>0</v>
      </c>
      <c r="H15" s="3">
        <f t="shared" si="0"/>
        <v>-40</v>
      </c>
      <c r="I15" s="3">
        <f t="shared" si="3"/>
        <v>250</v>
      </c>
      <c r="J15" s="3">
        <v>-45</v>
      </c>
      <c r="K15" s="3">
        <v>0</v>
      </c>
      <c r="L15" s="4">
        <f t="shared" si="1"/>
        <v>-45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16</v>
      </c>
      <c r="E16" s="3">
        <f t="shared" si="4"/>
        <v>1510</v>
      </c>
      <c r="F16" s="3">
        <v>0</v>
      </c>
      <c r="G16" s="3">
        <v>0</v>
      </c>
      <c r="H16" s="3">
        <f t="shared" si="0"/>
        <v>0</v>
      </c>
      <c r="I16" s="3">
        <f t="shared" si="3"/>
        <v>250</v>
      </c>
      <c r="J16" s="3">
        <v>0</v>
      </c>
      <c r="K16" s="3">
        <v>0</v>
      </c>
      <c r="L16" s="4">
        <f t="shared" si="1"/>
        <v>0</v>
      </c>
    </row>
    <row r="17" spans="1:14" ht="15" customHeight="1" x14ac:dyDescent="0.35">
      <c r="A17" s="2">
        <v>4</v>
      </c>
      <c r="B17" s="3">
        <v>0</v>
      </c>
      <c r="C17" s="3">
        <v>0</v>
      </c>
      <c r="D17" s="3">
        <f t="shared" si="2"/>
        <v>16</v>
      </c>
      <c r="E17" s="3">
        <f t="shared" si="4"/>
        <v>1510</v>
      </c>
      <c r="F17" s="3">
        <v>0</v>
      </c>
      <c r="G17" s="3">
        <v>0</v>
      </c>
      <c r="H17" s="3">
        <f t="shared" si="0"/>
        <v>0</v>
      </c>
      <c r="I17" s="3">
        <f t="shared" si="3"/>
        <v>250</v>
      </c>
      <c r="J17" s="3">
        <v>0</v>
      </c>
      <c r="K17" s="3">
        <v>0</v>
      </c>
      <c r="L17" s="4">
        <f t="shared" si="1"/>
        <v>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2"/>
        <v>16</v>
      </c>
      <c r="E18" s="3">
        <f t="shared" si="4"/>
        <v>1510</v>
      </c>
      <c r="F18" s="3">
        <v>0</v>
      </c>
      <c r="G18" s="3">
        <v>0</v>
      </c>
      <c r="H18" s="3">
        <f t="shared" si="0"/>
        <v>0</v>
      </c>
      <c r="I18" s="3">
        <f t="shared" si="3"/>
        <v>250</v>
      </c>
      <c r="J18" s="3">
        <v>0</v>
      </c>
      <c r="K18" s="3">
        <v>0</v>
      </c>
      <c r="L18" s="4">
        <f t="shared" si="1"/>
        <v>0</v>
      </c>
    </row>
    <row r="19" spans="1:14" ht="15" customHeight="1" x14ac:dyDescent="0.35">
      <c r="A19" s="2">
        <v>6</v>
      </c>
      <c r="B19" s="3">
        <v>0</v>
      </c>
      <c r="C19" s="3">
        <v>0</v>
      </c>
      <c r="D19" s="3">
        <f t="shared" si="2"/>
        <v>16</v>
      </c>
      <c r="E19" s="3">
        <f t="shared" si="4"/>
        <v>1510</v>
      </c>
      <c r="F19" s="3">
        <v>0</v>
      </c>
      <c r="G19" s="3">
        <v>0</v>
      </c>
      <c r="H19" s="3">
        <f t="shared" si="0"/>
        <v>0</v>
      </c>
      <c r="I19" s="3">
        <f t="shared" si="3"/>
        <v>250</v>
      </c>
      <c r="J19" s="3">
        <v>0</v>
      </c>
      <c r="K19" s="3">
        <v>0</v>
      </c>
      <c r="L19" s="4">
        <f t="shared" si="1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2"/>
        <v>16</v>
      </c>
      <c r="E20" s="3">
        <f t="shared" si="4"/>
        <v>1460</v>
      </c>
      <c r="F20" s="3">
        <v>-50</v>
      </c>
      <c r="G20" s="3">
        <v>0</v>
      </c>
      <c r="H20" s="3">
        <f t="shared" si="0"/>
        <v>-50</v>
      </c>
      <c r="I20" s="3">
        <f t="shared" si="3"/>
        <v>250</v>
      </c>
      <c r="J20" s="3">
        <v>0</v>
      </c>
      <c r="K20" s="3">
        <v>0</v>
      </c>
      <c r="L20" s="4">
        <f t="shared" si="1"/>
        <v>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2"/>
        <v>16</v>
      </c>
      <c r="E21" s="3">
        <f t="shared" si="4"/>
        <v>1460</v>
      </c>
      <c r="F21" s="3">
        <v>0</v>
      </c>
      <c r="G21" s="3">
        <v>0</v>
      </c>
      <c r="H21" s="3">
        <f t="shared" si="0"/>
        <v>0</v>
      </c>
      <c r="I21" s="3">
        <f t="shared" si="3"/>
        <v>230</v>
      </c>
      <c r="J21" s="3">
        <v>-20</v>
      </c>
      <c r="K21" s="3">
        <v>0</v>
      </c>
      <c r="L21" s="4">
        <f t="shared" si="1"/>
        <v>-20</v>
      </c>
    </row>
    <row r="22" spans="1:14" ht="15" customHeight="1" x14ac:dyDescent="0.35">
      <c r="A22" s="2">
        <v>9</v>
      </c>
      <c r="B22" s="3">
        <v>0</v>
      </c>
      <c r="C22" s="3">
        <v>1</v>
      </c>
      <c r="D22" s="3">
        <f t="shared" si="2"/>
        <v>15</v>
      </c>
      <c r="E22" s="3">
        <f t="shared" si="4"/>
        <v>1420</v>
      </c>
      <c r="F22" s="3">
        <v>-40</v>
      </c>
      <c r="G22" s="3">
        <v>0</v>
      </c>
      <c r="H22" s="3">
        <f t="shared" si="0"/>
        <v>-40</v>
      </c>
      <c r="I22" s="3">
        <f t="shared" si="3"/>
        <v>230</v>
      </c>
      <c r="J22" s="3">
        <v>0</v>
      </c>
      <c r="K22" s="3">
        <v>0</v>
      </c>
      <c r="L22" s="4">
        <f t="shared" si="1"/>
        <v>0</v>
      </c>
    </row>
    <row r="23" spans="1:14" ht="15" customHeight="1" x14ac:dyDescent="0.35">
      <c r="A23" s="2">
        <v>10</v>
      </c>
      <c r="B23" s="3">
        <v>1</v>
      </c>
      <c r="C23" s="3">
        <v>0</v>
      </c>
      <c r="D23" s="3">
        <f t="shared" si="2"/>
        <v>16</v>
      </c>
      <c r="E23" s="3">
        <f t="shared" si="4"/>
        <v>1460</v>
      </c>
      <c r="F23" s="3">
        <v>0</v>
      </c>
      <c r="G23" s="3">
        <v>40</v>
      </c>
      <c r="H23" s="3">
        <f t="shared" si="0"/>
        <v>40</v>
      </c>
      <c r="I23" s="3">
        <f t="shared" si="3"/>
        <v>230</v>
      </c>
      <c r="J23" s="3">
        <v>0</v>
      </c>
      <c r="K23" s="3">
        <v>0</v>
      </c>
      <c r="L23" s="4">
        <f t="shared" si="1"/>
        <v>0</v>
      </c>
    </row>
    <row r="24" spans="1:14" ht="15" customHeight="1" x14ac:dyDescent="0.35">
      <c r="A24" s="2">
        <v>11</v>
      </c>
      <c r="B24" s="3">
        <v>0</v>
      </c>
      <c r="C24" s="3">
        <v>0</v>
      </c>
      <c r="D24" s="3">
        <f t="shared" si="2"/>
        <v>16</v>
      </c>
      <c r="E24" s="3">
        <f t="shared" si="4"/>
        <v>1490</v>
      </c>
      <c r="F24" s="3">
        <v>30</v>
      </c>
      <c r="G24" s="3">
        <v>0</v>
      </c>
      <c r="H24" s="3">
        <f t="shared" si="0"/>
        <v>30</v>
      </c>
      <c r="I24" s="3">
        <f t="shared" si="3"/>
        <v>160</v>
      </c>
      <c r="J24" s="3">
        <v>-70</v>
      </c>
      <c r="K24" s="3">
        <v>0</v>
      </c>
      <c r="L24" s="4">
        <f t="shared" si="1"/>
        <v>-70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2"/>
        <v>16</v>
      </c>
      <c r="E25" s="3">
        <f t="shared" si="4"/>
        <v>1490</v>
      </c>
      <c r="F25" s="3">
        <v>0</v>
      </c>
      <c r="G25" s="3">
        <v>0</v>
      </c>
      <c r="H25" s="3">
        <f t="shared" si="0"/>
        <v>0</v>
      </c>
      <c r="I25" s="3">
        <f t="shared" si="3"/>
        <v>160</v>
      </c>
      <c r="J25" s="3">
        <v>0</v>
      </c>
      <c r="K25" s="3">
        <v>0</v>
      </c>
      <c r="L25" s="4">
        <f t="shared" si="1"/>
        <v>0</v>
      </c>
    </row>
    <row r="26" spans="1:14" ht="15" customHeight="1" x14ac:dyDescent="0.35">
      <c r="A26" s="2">
        <v>13</v>
      </c>
      <c r="B26" s="3">
        <v>0</v>
      </c>
      <c r="C26" s="3">
        <v>1</v>
      </c>
      <c r="D26" s="3">
        <f t="shared" si="2"/>
        <v>15</v>
      </c>
      <c r="E26" s="3">
        <f t="shared" si="4"/>
        <v>1480</v>
      </c>
      <c r="F26" s="3">
        <v>-10</v>
      </c>
      <c r="G26" s="3">
        <v>0</v>
      </c>
      <c r="H26" s="3">
        <f t="shared" si="0"/>
        <v>-10</v>
      </c>
      <c r="I26" s="3">
        <f t="shared" si="3"/>
        <v>200</v>
      </c>
      <c r="J26" s="3">
        <v>40</v>
      </c>
      <c r="K26" s="3">
        <v>0</v>
      </c>
      <c r="L26" s="4">
        <f t="shared" si="1"/>
        <v>40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2"/>
        <v>16</v>
      </c>
      <c r="E27" s="3">
        <f t="shared" si="4"/>
        <v>1470</v>
      </c>
      <c r="F27" s="3">
        <v>-50</v>
      </c>
      <c r="G27" s="3">
        <v>40</v>
      </c>
      <c r="H27" s="3">
        <f t="shared" si="0"/>
        <v>-10</v>
      </c>
      <c r="I27" s="3">
        <f t="shared" si="3"/>
        <v>280</v>
      </c>
      <c r="J27" s="3">
        <v>40</v>
      </c>
      <c r="K27" s="3">
        <v>40</v>
      </c>
      <c r="L27" s="4">
        <f t="shared" si="1"/>
        <v>80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2"/>
        <v>16</v>
      </c>
      <c r="E28" s="3">
        <f t="shared" si="4"/>
        <v>1400</v>
      </c>
      <c r="F28" s="3">
        <v>-70</v>
      </c>
      <c r="G28" s="3">
        <v>0</v>
      </c>
      <c r="H28" s="3">
        <f t="shared" si="0"/>
        <v>-70</v>
      </c>
      <c r="I28" s="3">
        <f t="shared" si="3"/>
        <v>280</v>
      </c>
      <c r="J28" s="3">
        <v>0</v>
      </c>
      <c r="K28" s="3">
        <v>0</v>
      </c>
      <c r="L28" s="4">
        <f t="shared" si="1"/>
        <v>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2"/>
        <v>16</v>
      </c>
      <c r="E29" s="3">
        <f t="shared" si="4"/>
        <v>1430</v>
      </c>
      <c r="F29" s="3">
        <v>30</v>
      </c>
      <c r="G29" s="3">
        <v>0</v>
      </c>
      <c r="H29" s="3">
        <f t="shared" si="0"/>
        <v>30</v>
      </c>
      <c r="I29" s="3">
        <f t="shared" si="3"/>
        <v>280</v>
      </c>
      <c r="J29" s="3">
        <v>0</v>
      </c>
      <c r="K29" s="3">
        <v>0</v>
      </c>
      <c r="L29" s="4">
        <f t="shared" si="1"/>
        <v>0</v>
      </c>
    </row>
    <row r="30" spans="1:14" ht="15" customHeight="1" x14ac:dyDescent="0.35">
      <c r="A30" s="2">
        <v>17</v>
      </c>
      <c r="B30" s="3">
        <v>0</v>
      </c>
      <c r="C30" s="3">
        <v>1</v>
      </c>
      <c r="D30" s="3">
        <f t="shared" si="2"/>
        <v>15</v>
      </c>
      <c r="E30" s="3">
        <f t="shared" si="4"/>
        <v>1350</v>
      </c>
      <c r="F30" s="3">
        <v>-80</v>
      </c>
      <c r="G30" s="3">
        <v>0</v>
      </c>
      <c r="H30" s="3">
        <f t="shared" si="0"/>
        <v>-80</v>
      </c>
      <c r="I30" s="3">
        <f t="shared" si="3"/>
        <v>240</v>
      </c>
      <c r="J30" s="3">
        <v>-40</v>
      </c>
      <c r="K30" s="3">
        <v>0</v>
      </c>
      <c r="L30" s="4">
        <f t="shared" si="1"/>
        <v>-40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2"/>
        <v>15</v>
      </c>
      <c r="E31" s="3">
        <f t="shared" si="4"/>
        <v>1290</v>
      </c>
      <c r="F31" s="3">
        <v>-60</v>
      </c>
      <c r="G31" s="3">
        <v>0</v>
      </c>
      <c r="H31" s="3">
        <f t="shared" si="0"/>
        <v>-60</v>
      </c>
      <c r="I31" s="3">
        <f t="shared" si="3"/>
        <v>200</v>
      </c>
      <c r="J31" s="3">
        <v>-40</v>
      </c>
      <c r="K31" s="3">
        <v>0</v>
      </c>
      <c r="L31" s="4">
        <f t="shared" si="1"/>
        <v>-40</v>
      </c>
      <c r="N31" s="32">
        <f t="shared" ref="N31:N42" si="5">E31+I31</f>
        <v>1490</v>
      </c>
    </row>
    <row r="32" spans="1:14" ht="15" customHeight="1" x14ac:dyDescent="0.35">
      <c r="A32" s="2">
        <v>19</v>
      </c>
      <c r="B32" s="3">
        <v>0</v>
      </c>
      <c r="C32" s="3">
        <v>1</v>
      </c>
      <c r="D32" s="3">
        <f t="shared" si="2"/>
        <v>14</v>
      </c>
      <c r="E32" s="3">
        <f t="shared" si="4"/>
        <v>1200</v>
      </c>
      <c r="F32" s="3">
        <v>-90</v>
      </c>
      <c r="G32" s="3">
        <v>0</v>
      </c>
      <c r="H32" s="3">
        <f t="shared" si="0"/>
        <v>-90</v>
      </c>
      <c r="I32" s="3">
        <f t="shared" si="3"/>
        <v>200</v>
      </c>
      <c r="J32" s="3">
        <v>0</v>
      </c>
      <c r="K32" s="3">
        <v>0</v>
      </c>
      <c r="L32" s="4">
        <f t="shared" si="1"/>
        <v>0</v>
      </c>
      <c r="N32" s="32">
        <f t="shared" si="5"/>
        <v>1400</v>
      </c>
    </row>
    <row r="33" spans="1:14" ht="15" customHeight="1" x14ac:dyDescent="0.35">
      <c r="A33" s="2">
        <v>20</v>
      </c>
      <c r="B33" s="3">
        <v>1</v>
      </c>
      <c r="C33" s="3">
        <v>0</v>
      </c>
      <c r="D33" s="3">
        <f t="shared" si="2"/>
        <v>15</v>
      </c>
      <c r="E33" s="3">
        <f t="shared" si="4"/>
        <v>1240</v>
      </c>
      <c r="F33" s="3">
        <v>0</v>
      </c>
      <c r="G33" s="3">
        <v>40</v>
      </c>
      <c r="H33" s="3">
        <f t="shared" si="0"/>
        <v>40</v>
      </c>
      <c r="I33" s="3">
        <f t="shared" si="3"/>
        <v>200</v>
      </c>
      <c r="J33" s="3">
        <v>0</v>
      </c>
      <c r="K33" s="3">
        <v>0</v>
      </c>
      <c r="L33" s="4">
        <f t="shared" si="1"/>
        <v>0</v>
      </c>
      <c r="N33" s="32">
        <f t="shared" si="5"/>
        <v>1440</v>
      </c>
    </row>
    <row r="34" spans="1:14" ht="15" customHeight="1" x14ac:dyDescent="0.35">
      <c r="A34" s="2">
        <v>21</v>
      </c>
      <c r="B34" s="3">
        <v>1</v>
      </c>
      <c r="C34" s="3">
        <v>1</v>
      </c>
      <c r="D34" s="3">
        <f t="shared" si="2"/>
        <v>15</v>
      </c>
      <c r="E34" s="3">
        <f t="shared" si="4"/>
        <v>1216</v>
      </c>
      <c r="F34" s="3">
        <v>-54</v>
      </c>
      <c r="G34" s="3">
        <v>30</v>
      </c>
      <c r="H34" s="3">
        <f t="shared" si="0"/>
        <v>-24</v>
      </c>
      <c r="I34" s="3">
        <f t="shared" si="3"/>
        <v>200</v>
      </c>
      <c r="J34" s="3">
        <v>0</v>
      </c>
      <c r="K34" s="3">
        <v>0</v>
      </c>
      <c r="L34" s="4">
        <f t="shared" si="1"/>
        <v>0</v>
      </c>
      <c r="N34" s="32">
        <f t="shared" si="5"/>
        <v>1416</v>
      </c>
    </row>
    <row r="35" spans="1:14" ht="15" customHeight="1" x14ac:dyDescent="0.35">
      <c r="A35" s="2">
        <v>22</v>
      </c>
      <c r="B35" s="3">
        <v>0</v>
      </c>
      <c r="C35" s="3">
        <v>0</v>
      </c>
      <c r="D35" s="3">
        <f t="shared" si="2"/>
        <v>15</v>
      </c>
      <c r="E35" s="3">
        <f t="shared" si="4"/>
        <v>1176</v>
      </c>
      <c r="F35" s="3">
        <v>-40</v>
      </c>
      <c r="G35" s="3">
        <v>0</v>
      </c>
      <c r="H35" s="3">
        <f t="shared" si="0"/>
        <v>-40</v>
      </c>
      <c r="I35" s="3">
        <f t="shared" si="3"/>
        <v>200</v>
      </c>
      <c r="J35" s="3">
        <v>0</v>
      </c>
      <c r="K35" s="3">
        <v>0</v>
      </c>
      <c r="L35" s="4">
        <f t="shared" si="1"/>
        <v>0</v>
      </c>
      <c r="N35" s="32">
        <f t="shared" si="5"/>
        <v>1376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2"/>
        <v>15</v>
      </c>
      <c r="E36" s="3">
        <f t="shared" si="4"/>
        <v>1206</v>
      </c>
      <c r="F36" s="3">
        <f>-10+40</f>
        <v>30</v>
      </c>
      <c r="G36" s="3">
        <v>0</v>
      </c>
      <c r="H36" s="3">
        <f t="shared" si="0"/>
        <v>30</v>
      </c>
      <c r="I36" s="3">
        <f t="shared" si="3"/>
        <v>200</v>
      </c>
      <c r="J36" s="3">
        <v>0</v>
      </c>
      <c r="K36" s="3">
        <v>0</v>
      </c>
      <c r="L36" s="4">
        <f t="shared" si="1"/>
        <v>0</v>
      </c>
      <c r="N36" s="32">
        <f t="shared" si="5"/>
        <v>1406</v>
      </c>
    </row>
    <row r="37" spans="1:14" ht="15" customHeight="1" x14ac:dyDescent="0.35">
      <c r="A37" s="2">
        <v>24</v>
      </c>
      <c r="B37" s="3">
        <v>1</v>
      </c>
      <c r="C37" s="3">
        <v>0</v>
      </c>
      <c r="D37" s="3">
        <f t="shared" si="2"/>
        <v>16</v>
      </c>
      <c r="E37" s="3">
        <f t="shared" si="4"/>
        <v>1226</v>
      </c>
      <c r="F37" s="3">
        <v>0</v>
      </c>
      <c r="G37" s="3">
        <v>20</v>
      </c>
      <c r="H37" s="3">
        <f t="shared" si="0"/>
        <v>20</v>
      </c>
      <c r="I37" s="3">
        <f t="shared" si="3"/>
        <v>200</v>
      </c>
      <c r="J37" s="3">
        <v>0</v>
      </c>
      <c r="K37" s="3">
        <v>0</v>
      </c>
      <c r="L37" s="4">
        <f t="shared" si="1"/>
        <v>0</v>
      </c>
      <c r="N37" s="32">
        <f t="shared" si="5"/>
        <v>1426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2"/>
        <v>16</v>
      </c>
      <c r="E38" s="3">
        <f t="shared" si="4"/>
        <v>1226</v>
      </c>
      <c r="F38" s="3">
        <v>0</v>
      </c>
      <c r="G38" s="3">
        <v>0</v>
      </c>
      <c r="H38" s="3">
        <f t="shared" si="0"/>
        <v>0</v>
      </c>
      <c r="I38" s="3">
        <f t="shared" si="3"/>
        <v>200</v>
      </c>
      <c r="J38" s="3">
        <v>0</v>
      </c>
      <c r="K38" s="3">
        <v>0</v>
      </c>
      <c r="L38" s="4">
        <f t="shared" si="1"/>
        <v>0</v>
      </c>
      <c r="N38" s="32">
        <f t="shared" si="5"/>
        <v>1426</v>
      </c>
    </row>
    <row r="39" spans="1:14" ht="15" customHeight="1" x14ac:dyDescent="0.35">
      <c r="A39" s="2">
        <v>26</v>
      </c>
      <c r="B39" s="3">
        <v>0</v>
      </c>
      <c r="C39" s="3">
        <v>0</v>
      </c>
      <c r="D39" s="3">
        <f t="shared" si="2"/>
        <v>16</v>
      </c>
      <c r="E39" s="3">
        <f t="shared" si="4"/>
        <v>1226</v>
      </c>
      <c r="F39" s="3">
        <v>0</v>
      </c>
      <c r="G39" s="3">
        <v>0</v>
      </c>
      <c r="H39" s="3">
        <f t="shared" si="0"/>
        <v>0</v>
      </c>
      <c r="I39" s="3">
        <f t="shared" si="3"/>
        <v>160</v>
      </c>
      <c r="J39" s="3">
        <v>-40</v>
      </c>
      <c r="K39" s="3">
        <v>0</v>
      </c>
      <c r="L39" s="4">
        <f t="shared" si="1"/>
        <v>-40</v>
      </c>
      <c r="N39" s="32">
        <f t="shared" si="5"/>
        <v>1386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2"/>
        <v>16</v>
      </c>
      <c r="E40" s="3">
        <f t="shared" si="4"/>
        <v>1226</v>
      </c>
      <c r="F40" s="3">
        <v>0</v>
      </c>
      <c r="G40" s="3">
        <v>0</v>
      </c>
      <c r="H40" s="3">
        <f t="shared" si="0"/>
        <v>0</v>
      </c>
      <c r="I40" s="3">
        <f t="shared" si="3"/>
        <v>160</v>
      </c>
      <c r="J40" s="3">
        <v>0</v>
      </c>
      <c r="K40" s="3">
        <v>0</v>
      </c>
      <c r="L40" s="4">
        <f t="shared" si="1"/>
        <v>0</v>
      </c>
      <c r="N40" s="32">
        <f t="shared" si="5"/>
        <v>1386</v>
      </c>
    </row>
    <row r="41" spans="1:14" ht="15" customHeight="1" x14ac:dyDescent="0.35">
      <c r="A41" s="2">
        <v>28</v>
      </c>
      <c r="B41" s="3">
        <v>0</v>
      </c>
      <c r="C41" s="3">
        <v>1</v>
      </c>
      <c r="D41" s="3">
        <f t="shared" si="2"/>
        <v>15</v>
      </c>
      <c r="E41" s="3">
        <f t="shared" si="4"/>
        <v>1116</v>
      </c>
      <c r="F41" s="3">
        <f>-35-40-35</f>
        <v>-110</v>
      </c>
      <c r="G41" s="3">
        <v>0</v>
      </c>
      <c r="H41" s="3">
        <f t="shared" si="0"/>
        <v>-110</v>
      </c>
      <c r="I41" s="3">
        <f t="shared" si="3"/>
        <v>120</v>
      </c>
      <c r="J41" s="3">
        <f>-20-20</f>
        <v>-40</v>
      </c>
      <c r="K41" s="3">
        <v>0</v>
      </c>
      <c r="L41" s="4">
        <f t="shared" si="1"/>
        <v>-40</v>
      </c>
      <c r="N41" s="32">
        <f t="shared" si="5"/>
        <v>1236</v>
      </c>
    </row>
    <row r="42" spans="1:14" ht="15" customHeight="1" x14ac:dyDescent="0.35">
      <c r="A42" s="2">
        <v>29</v>
      </c>
      <c r="B42" s="3">
        <v>0</v>
      </c>
      <c r="C42" s="3">
        <v>0</v>
      </c>
      <c r="D42" s="3">
        <f t="shared" si="2"/>
        <v>15</v>
      </c>
      <c r="E42" s="3">
        <f t="shared" si="4"/>
        <v>1116</v>
      </c>
      <c r="F42" s="3">
        <v>0</v>
      </c>
      <c r="G42" s="3">
        <v>0</v>
      </c>
      <c r="H42" s="3">
        <f t="shared" ref="H42" si="6">SUM(F42:G42)</f>
        <v>0</v>
      </c>
      <c r="I42" s="3">
        <f t="shared" si="3"/>
        <v>120</v>
      </c>
      <c r="J42" s="3">
        <v>0</v>
      </c>
      <c r="K42" s="3">
        <v>0</v>
      </c>
      <c r="L42" s="4">
        <f t="shared" si="1"/>
        <v>0</v>
      </c>
      <c r="N42" s="32">
        <f t="shared" si="5"/>
        <v>1236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2"/>
        <v>15</v>
      </c>
      <c r="E43" s="3">
        <f t="shared" si="4"/>
        <v>1156</v>
      </c>
      <c r="F43" s="3">
        <v>40</v>
      </c>
      <c r="G43" s="3">
        <v>0</v>
      </c>
      <c r="H43" s="3">
        <f t="shared" ref="H43" si="7">SUM(F43:G43)</f>
        <v>40</v>
      </c>
      <c r="I43" s="3">
        <f t="shared" si="3"/>
        <v>120</v>
      </c>
      <c r="J43" s="3">
        <v>0</v>
      </c>
      <c r="K43" s="3">
        <v>0</v>
      </c>
      <c r="L43" s="4">
        <f t="shared" si="1"/>
        <v>0</v>
      </c>
      <c r="N43" s="32">
        <f t="shared" ref="N43" si="8">E43+I43</f>
        <v>1276</v>
      </c>
    </row>
    <row r="44" spans="1:14" ht="15" customHeight="1" x14ac:dyDescent="0.35">
      <c r="A44" s="2">
        <v>31</v>
      </c>
      <c r="B44" s="3">
        <v>0</v>
      </c>
      <c r="C44" s="3">
        <v>0</v>
      </c>
      <c r="D44" s="3">
        <f t="shared" si="2"/>
        <v>15</v>
      </c>
      <c r="E44" s="3">
        <f t="shared" si="4"/>
        <v>1046</v>
      </c>
      <c r="F44" s="3">
        <f>-80-30</f>
        <v>-110</v>
      </c>
      <c r="G44" s="3">
        <v>0</v>
      </c>
      <c r="H44" s="3">
        <f t="shared" ref="H44" si="9">SUM(F44:G44)</f>
        <v>-110</v>
      </c>
      <c r="I44" s="3">
        <f t="shared" si="3"/>
        <v>120</v>
      </c>
      <c r="J44" s="3">
        <v>0</v>
      </c>
      <c r="K44" s="3">
        <v>0</v>
      </c>
      <c r="L44" s="4">
        <f t="shared" si="1"/>
        <v>0</v>
      </c>
      <c r="N44" s="32">
        <f t="shared" ref="N44" si="10">E44+I44</f>
        <v>1166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ref="D45:D50" si="11">D44+B45-C45</f>
        <v>15</v>
      </c>
      <c r="E45" s="3">
        <f t="shared" ref="E45:E50" si="12">E44+F45+G45</f>
        <v>966</v>
      </c>
      <c r="F45" s="3">
        <f>-40-40</f>
        <v>-80</v>
      </c>
      <c r="G45" s="3">
        <v>0</v>
      </c>
      <c r="H45" s="3">
        <f t="shared" ref="H45:H47" si="13">SUM(F45:G45)</f>
        <v>-80</v>
      </c>
      <c r="I45" s="3">
        <f t="shared" si="3"/>
        <v>80</v>
      </c>
      <c r="J45" s="3">
        <f>-40</f>
        <v>-40</v>
      </c>
      <c r="K45" s="3">
        <v>0</v>
      </c>
      <c r="L45" s="4">
        <f t="shared" si="1"/>
        <v>-40</v>
      </c>
      <c r="N45" s="32">
        <f t="shared" ref="N45" si="14">E45+I45</f>
        <v>1046</v>
      </c>
    </row>
    <row r="46" spans="1:14" ht="15" customHeight="1" x14ac:dyDescent="0.35">
      <c r="A46" s="2">
        <v>3</v>
      </c>
      <c r="B46" s="3">
        <v>0</v>
      </c>
      <c r="C46" s="3">
        <v>0</v>
      </c>
      <c r="D46" s="3">
        <f t="shared" si="11"/>
        <v>15</v>
      </c>
      <c r="E46" s="3">
        <f t="shared" si="12"/>
        <v>966</v>
      </c>
      <c r="F46" s="3">
        <v>0</v>
      </c>
      <c r="G46" s="3">
        <v>0</v>
      </c>
      <c r="H46" s="3">
        <f t="shared" si="13"/>
        <v>0</v>
      </c>
      <c r="I46" s="3">
        <f t="shared" si="3"/>
        <v>80</v>
      </c>
      <c r="J46" s="3">
        <v>0</v>
      </c>
      <c r="K46" s="3">
        <v>0</v>
      </c>
      <c r="L46" s="4">
        <f t="shared" si="1"/>
        <v>0</v>
      </c>
      <c r="N46" s="32">
        <f t="shared" ref="N46" si="15">E46+I46</f>
        <v>1046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 t="shared" si="11"/>
        <v>15</v>
      </c>
      <c r="E47" s="3">
        <f t="shared" si="12"/>
        <v>926</v>
      </c>
      <c r="F47" s="3">
        <f>-40</f>
        <v>-40</v>
      </c>
      <c r="G47" s="3">
        <v>0</v>
      </c>
      <c r="H47" s="3">
        <f t="shared" si="13"/>
        <v>-40</v>
      </c>
      <c r="I47" s="3">
        <f t="shared" si="3"/>
        <v>80</v>
      </c>
      <c r="J47" s="3">
        <v>0</v>
      </c>
      <c r="K47" s="3">
        <v>0</v>
      </c>
      <c r="L47" s="4">
        <f t="shared" ref="L47:L48" si="16">SUM(J47:K47)</f>
        <v>0</v>
      </c>
      <c r="N47" s="32">
        <f t="shared" ref="N47:N48" si="17">E47+I47</f>
        <v>1006</v>
      </c>
    </row>
    <row r="48" spans="1:14" ht="15" customHeight="1" x14ac:dyDescent="0.35">
      <c r="A48" s="2">
        <v>5</v>
      </c>
      <c r="B48" s="3">
        <v>0</v>
      </c>
      <c r="C48" s="3">
        <v>0</v>
      </c>
      <c r="D48" s="3">
        <f t="shared" si="11"/>
        <v>15</v>
      </c>
      <c r="E48" s="3">
        <f t="shared" si="12"/>
        <v>916</v>
      </c>
      <c r="F48" s="3">
        <f>-10</f>
        <v>-10</v>
      </c>
      <c r="G48" s="3">
        <v>0</v>
      </c>
      <c r="H48" s="3">
        <f t="shared" ref="H48" si="18">SUM(F48:G48)</f>
        <v>-10</v>
      </c>
      <c r="I48" s="3">
        <f t="shared" si="3"/>
        <v>80</v>
      </c>
      <c r="J48" s="3">
        <v>0</v>
      </c>
      <c r="K48" s="3">
        <v>0</v>
      </c>
      <c r="L48" s="4">
        <f t="shared" si="16"/>
        <v>0</v>
      </c>
      <c r="N48" s="32">
        <f t="shared" si="17"/>
        <v>996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 t="shared" si="11"/>
        <v>15</v>
      </c>
      <c r="E49" s="3">
        <f t="shared" si="12"/>
        <v>886</v>
      </c>
      <c r="F49" s="3">
        <f>-10-20</f>
        <v>-30</v>
      </c>
      <c r="G49" s="3">
        <v>0</v>
      </c>
      <c r="H49" s="3">
        <f>SUM(F49:G49)</f>
        <v>-30</v>
      </c>
      <c r="I49" s="3">
        <f t="shared" si="3"/>
        <v>40</v>
      </c>
      <c r="J49" s="3">
        <f>-40</f>
        <v>-40</v>
      </c>
      <c r="K49" s="3">
        <v>0</v>
      </c>
      <c r="L49" s="4">
        <f>SUM(J49:K49)</f>
        <v>-40</v>
      </c>
      <c r="N49" s="32">
        <f>E49+I49</f>
        <v>926</v>
      </c>
    </row>
    <row r="50" spans="1:14" ht="15" customHeight="1" x14ac:dyDescent="0.35">
      <c r="A50" s="5">
        <v>7</v>
      </c>
      <c r="B50" s="6">
        <v>0</v>
      </c>
      <c r="C50" s="6">
        <v>0</v>
      </c>
      <c r="D50" s="6">
        <f t="shared" si="11"/>
        <v>15</v>
      </c>
      <c r="E50" s="6">
        <f t="shared" si="12"/>
        <v>886</v>
      </c>
      <c r="F50" s="6">
        <v>0</v>
      </c>
      <c r="G50" s="6">
        <v>0</v>
      </c>
      <c r="H50" s="6">
        <f>SUM(F50:G50)</f>
        <v>0</v>
      </c>
      <c r="I50" s="6">
        <f>I49+J50+K50</f>
        <v>40</v>
      </c>
      <c r="J50" s="6">
        <v>0</v>
      </c>
      <c r="K50" s="6">
        <v>0</v>
      </c>
      <c r="L50" s="12">
        <f>SUM(J50:K50)</f>
        <v>0</v>
      </c>
      <c r="N50" s="32">
        <f>E50+I50</f>
        <v>926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7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</sheetData>
  <mergeCells count="15">
    <mergeCell ref="A51:E51"/>
    <mergeCell ref="G51:L51"/>
    <mergeCell ref="B4:D4"/>
    <mergeCell ref="A1:L1"/>
    <mergeCell ref="H3:L3"/>
    <mergeCell ref="E4:L4"/>
    <mergeCell ref="F5:H5"/>
    <mergeCell ref="J5:L5"/>
    <mergeCell ref="A3:B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51" t="s">
        <v>9</v>
      </c>
      <c r="B3" s="51"/>
      <c r="D3" s="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v>1</v>
      </c>
      <c r="C7" s="9">
        <v>0</v>
      </c>
      <c r="D7" s="9">
        <f>B7-C7</f>
        <v>1</v>
      </c>
      <c r="E7" s="9">
        <f>SUM(F7:G7)</f>
        <v>50</v>
      </c>
      <c r="F7" s="9">
        <v>0</v>
      </c>
      <c r="G7" s="9">
        <v>50</v>
      </c>
      <c r="H7" s="9">
        <f>SUM(F7:G7)</f>
        <v>50</v>
      </c>
      <c r="I7" s="9">
        <f>SUM(J7:K7)</f>
        <v>40</v>
      </c>
      <c r="J7" s="9">
        <v>0</v>
      </c>
      <c r="K7" s="9">
        <v>40</v>
      </c>
      <c r="L7" s="10">
        <f>SUM(J7:K7)</f>
        <v>40</v>
      </c>
    </row>
    <row r="8" spans="1:12" ht="15" customHeight="1" x14ac:dyDescent="0.35">
      <c r="A8" s="27" t="s">
        <v>16</v>
      </c>
      <c r="B8" s="3">
        <f>2+1+1+1</f>
        <v>5</v>
      </c>
      <c r="C8" s="3">
        <v>0</v>
      </c>
      <c r="D8" s="3">
        <f>D7+B8-C8</f>
        <v>6</v>
      </c>
      <c r="E8" s="3">
        <f>E7+F8+G8</f>
        <v>350</v>
      </c>
      <c r="F8" s="3">
        <f>50+75</f>
        <v>125</v>
      </c>
      <c r="G8" s="3">
        <f>50+35+50+40</f>
        <v>175</v>
      </c>
      <c r="H8" s="3">
        <f t="shared" ref="H8:H40" si="0">SUM(F8:G8)</f>
        <v>300</v>
      </c>
      <c r="I8" s="3">
        <f>I7+J8+K8</f>
        <v>255</v>
      </c>
      <c r="J8" s="3">
        <v>0</v>
      </c>
      <c r="K8" s="3">
        <f>100+45+70</f>
        <v>215</v>
      </c>
      <c r="L8" s="4">
        <f t="shared" ref="L8:L40" si="1">SUM(J8:K8)</f>
        <v>215</v>
      </c>
    </row>
    <row r="9" spans="1:12" ht="15" customHeight="1" x14ac:dyDescent="0.35">
      <c r="A9" s="27" t="s">
        <v>17</v>
      </c>
      <c r="B9" s="3">
        <f>1+1+2+4+5</f>
        <v>13</v>
      </c>
      <c r="C9" s="3">
        <v>0</v>
      </c>
      <c r="D9" s="3">
        <f t="shared" ref="D9:D40" si="2">D8+B9-C9</f>
        <v>19</v>
      </c>
      <c r="E9" s="3">
        <f t="shared" ref="E9:E40" si="3">E8+F9+G9</f>
        <v>1305</v>
      </c>
      <c r="F9" s="3">
        <f>35+105+45+200</f>
        <v>385</v>
      </c>
      <c r="G9" s="3">
        <f>40+40+80+130+280</f>
        <v>570</v>
      </c>
      <c r="H9" s="3">
        <f t="shared" si="0"/>
        <v>955</v>
      </c>
      <c r="I9" s="3">
        <f t="shared" ref="I9:I40" si="4">I8+J9+K9</f>
        <v>540</v>
      </c>
      <c r="J9" s="3">
        <f>15+40+40</f>
        <v>95</v>
      </c>
      <c r="K9" s="3">
        <f>40+150</f>
        <v>190</v>
      </c>
      <c r="L9" s="4">
        <f t="shared" si="1"/>
        <v>285</v>
      </c>
    </row>
    <row r="10" spans="1:12" ht="15" customHeight="1" x14ac:dyDescent="0.35">
      <c r="A10" s="2" t="s">
        <v>18</v>
      </c>
      <c r="B10" s="3">
        <f>1+2</f>
        <v>3</v>
      </c>
      <c r="C10" s="3">
        <v>0</v>
      </c>
      <c r="D10" s="3">
        <f t="shared" si="2"/>
        <v>22</v>
      </c>
      <c r="E10" s="3">
        <f t="shared" si="3"/>
        <v>1860</v>
      </c>
      <c r="F10" s="3">
        <f>175+55+90</f>
        <v>320</v>
      </c>
      <c r="G10" s="3">
        <f>100+135</f>
        <v>235</v>
      </c>
      <c r="H10" s="3">
        <f t="shared" si="0"/>
        <v>555</v>
      </c>
      <c r="I10" s="3">
        <f t="shared" si="4"/>
        <v>625</v>
      </c>
      <c r="J10" s="3">
        <v>-50</v>
      </c>
      <c r="K10" s="3">
        <f>100+35</f>
        <v>135</v>
      </c>
      <c r="L10" s="4">
        <f t="shared" si="1"/>
        <v>85</v>
      </c>
    </row>
    <row r="11" spans="1:12" ht="15" customHeight="1" x14ac:dyDescent="0.35">
      <c r="A11" s="2" t="s">
        <v>19</v>
      </c>
      <c r="B11" s="3">
        <f>1+2+2+1</f>
        <v>6</v>
      </c>
      <c r="C11" s="3">
        <v>1</v>
      </c>
      <c r="D11" s="3">
        <f t="shared" si="2"/>
        <v>27</v>
      </c>
      <c r="E11" s="3">
        <f t="shared" si="3"/>
        <v>1960</v>
      </c>
      <c r="F11" s="3">
        <f>-75-65</f>
        <v>-140</v>
      </c>
      <c r="G11" s="3">
        <f>40+80+80+40</f>
        <v>240</v>
      </c>
      <c r="H11" s="3">
        <f t="shared" si="0"/>
        <v>100</v>
      </c>
      <c r="I11" s="3">
        <f t="shared" si="4"/>
        <v>625</v>
      </c>
      <c r="J11" s="3">
        <f>20-60</f>
        <v>-40</v>
      </c>
      <c r="K11" s="3">
        <v>40</v>
      </c>
      <c r="L11" s="4">
        <f t="shared" si="1"/>
        <v>0</v>
      </c>
    </row>
    <row r="12" spans="1:12" ht="15" customHeight="1" x14ac:dyDescent="0.35">
      <c r="A12" s="2" t="s">
        <v>23</v>
      </c>
      <c r="B12" s="3">
        <f>1+2</f>
        <v>3</v>
      </c>
      <c r="C12" s="3">
        <v>0</v>
      </c>
      <c r="D12" s="3">
        <f t="shared" si="2"/>
        <v>30</v>
      </c>
      <c r="E12" s="3">
        <f t="shared" si="3"/>
        <v>2210</v>
      </c>
      <c r="F12" s="3">
        <v>80</v>
      </c>
      <c r="G12" s="3">
        <f>45+125</f>
        <v>170</v>
      </c>
      <c r="H12" s="3">
        <f t="shared" si="0"/>
        <v>250</v>
      </c>
      <c r="I12" s="3">
        <f t="shared" si="4"/>
        <v>625</v>
      </c>
      <c r="J12" s="3">
        <v>0</v>
      </c>
      <c r="K12" s="3">
        <v>0</v>
      </c>
      <c r="L12" s="4">
        <f t="shared" si="1"/>
        <v>0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30</v>
      </c>
      <c r="E13" s="3">
        <f t="shared" si="3"/>
        <v>2210</v>
      </c>
      <c r="F13" s="3">
        <v>0</v>
      </c>
      <c r="G13" s="3">
        <v>0</v>
      </c>
      <c r="H13" s="3">
        <f t="shared" si="0"/>
        <v>0</v>
      </c>
      <c r="I13" s="3">
        <f t="shared" si="4"/>
        <v>625</v>
      </c>
      <c r="J13" s="3">
        <v>0</v>
      </c>
      <c r="K13" s="3">
        <v>0</v>
      </c>
      <c r="L13" s="4">
        <f t="shared" si="1"/>
        <v>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2"/>
        <v>30</v>
      </c>
      <c r="E14" s="3">
        <f t="shared" si="3"/>
        <v>2210</v>
      </c>
      <c r="F14" s="3">
        <v>0</v>
      </c>
      <c r="G14" s="3">
        <v>0</v>
      </c>
      <c r="H14" s="3">
        <f t="shared" si="0"/>
        <v>0</v>
      </c>
      <c r="I14" s="3">
        <f t="shared" si="4"/>
        <v>625</v>
      </c>
      <c r="J14" s="3">
        <v>0</v>
      </c>
      <c r="K14" s="3">
        <v>0</v>
      </c>
      <c r="L14" s="4">
        <f t="shared" si="1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2"/>
        <v>30</v>
      </c>
      <c r="E15" s="3">
        <f t="shared" si="3"/>
        <v>2210</v>
      </c>
      <c r="F15" s="3">
        <v>0</v>
      </c>
      <c r="G15" s="3">
        <v>0</v>
      </c>
      <c r="H15" s="3">
        <f t="shared" si="0"/>
        <v>0</v>
      </c>
      <c r="I15" s="3">
        <f t="shared" si="4"/>
        <v>625</v>
      </c>
      <c r="J15" s="3">
        <v>0</v>
      </c>
      <c r="K15" s="3">
        <v>0</v>
      </c>
      <c r="L15" s="4">
        <f t="shared" si="1"/>
        <v>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30</v>
      </c>
      <c r="E16" s="3">
        <f t="shared" si="3"/>
        <v>2210</v>
      </c>
      <c r="F16" s="3">
        <v>0</v>
      </c>
      <c r="G16" s="3">
        <v>0</v>
      </c>
      <c r="H16" s="3">
        <f t="shared" si="0"/>
        <v>0</v>
      </c>
      <c r="I16" s="3">
        <f t="shared" si="4"/>
        <v>575</v>
      </c>
      <c r="J16" s="3">
        <v>-50</v>
      </c>
      <c r="K16" s="3">
        <v>0</v>
      </c>
      <c r="L16" s="4">
        <f t="shared" si="1"/>
        <v>-50</v>
      </c>
    </row>
    <row r="17" spans="1:14" ht="15" customHeight="1" x14ac:dyDescent="0.35">
      <c r="A17" s="2">
        <v>4</v>
      </c>
      <c r="B17" s="3">
        <v>1</v>
      </c>
      <c r="C17" s="3">
        <v>0</v>
      </c>
      <c r="D17" s="3">
        <f t="shared" si="2"/>
        <v>31</v>
      </c>
      <c r="E17" s="3">
        <f t="shared" si="3"/>
        <v>2360</v>
      </c>
      <c r="F17" s="3">
        <v>0</v>
      </c>
      <c r="G17" s="3">
        <v>150</v>
      </c>
      <c r="H17" s="3">
        <f t="shared" si="0"/>
        <v>150</v>
      </c>
      <c r="I17" s="3">
        <f t="shared" si="4"/>
        <v>575</v>
      </c>
      <c r="J17" s="3">
        <v>0</v>
      </c>
      <c r="K17" s="3">
        <v>0</v>
      </c>
      <c r="L17" s="4">
        <f t="shared" si="1"/>
        <v>0</v>
      </c>
    </row>
    <row r="18" spans="1:14" ht="15" customHeight="1" x14ac:dyDescent="0.35">
      <c r="A18" s="2">
        <v>5</v>
      </c>
      <c r="B18" s="3">
        <v>1</v>
      </c>
      <c r="C18" s="3">
        <v>0</v>
      </c>
      <c r="D18" s="3">
        <f t="shared" si="2"/>
        <v>32</v>
      </c>
      <c r="E18" s="3">
        <f t="shared" si="3"/>
        <v>2369</v>
      </c>
      <c r="F18" s="3">
        <v>-35</v>
      </c>
      <c r="G18" s="3">
        <v>44</v>
      </c>
      <c r="H18" s="3">
        <f t="shared" si="0"/>
        <v>9</v>
      </c>
      <c r="I18" s="3">
        <f t="shared" si="4"/>
        <v>535</v>
      </c>
      <c r="J18" s="3">
        <v>-40</v>
      </c>
      <c r="K18" s="3">
        <v>0</v>
      </c>
      <c r="L18" s="4">
        <f t="shared" si="1"/>
        <v>-40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2"/>
        <v>31</v>
      </c>
      <c r="E19" s="3">
        <f t="shared" si="3"/>
        <v>2259</v>
      </c>
      <c r="F19" s="3">
        <v>-130</v>
      </c>
      <c r="G19" s="3">
        <v>20</v>
      </c>
      <c r="H19" s="3">
        <f t="shared" si="0"/>
        <v>-110</v>
      </c>
      <c r="I19" s="3">
        <f t="shared" si="4"/>
        <v>485</v>
      </c>
      <c r="J19" s="3">
        <v>-50</v>
      </c>
      <c r="K19" s="3">
        <v>0</v>
      </c>
      <c r="L19" s="4">
        <f t="shared" si="1"/>
        <v>-50</v>
      </c>
    </row>
    <row r="20" spans="1:14" ht="15" customHeight="1" x14ac:dyDescent="0.35">
      <c r="A20" s="2">
        <v>7</v>
      </c>
      <c r="B20" s="3">
        <v>0</v>
      </c>
      <c r="C20" s="3">
        <v>2</v>
      </c>
      <c r="D20" s="3">
        <f t="shared" si="2"/>
        <v>29</v>
      </c>
      <c r="E20" s="3">
        <f t="shared" si="3"/>
        <v>2136</v>
      </c>
      <c r="F20" s="3">
        <v>-123</v>
      </c>
      <c r="G20" s="3">
        <v>0</v>
      </c>
      <c r="H20" s="3">
        <f t="shared" si="0"/>
        <v>-123</v>
      </c>
      <c r="I20" s="3">
        <f t="shared" si="4"/>
        <v>490</v>
      </c>
      <c r="J20" s="3">
        <v>5</v>
      </c>
      <c r="K20" s="3">
        <v>0</v>
      </c>
      <c r="L20" s="4">
        <f t="shared" si="1"/>
        <v>5</v>
      </c>
    </row>
    <row r="21" spans="1:14" ht="15" customHeight="1" x14ac:dyDescent="0.35">
      <c r="A21" s="2">
        <v>8</v>
      </c>
      <c r="B21" s="3">
        <v>0</v>
      </c>
      <c r="C21" s="3">
        <v>1</v>
      </c>
      <c r="D21" s="3">
        <f t="shared" si="2"/>
        <v>28</v>
      </c>
      <c r="E21" s="3">
        <f t="shared" si="3"/>
        <v>2105</v>
      </c>
      <c r="F21" s="3">
        <v>-31</v>
      </c>
      <c r="G21" s="3">
        <v>0</v>
      </c>
      <c r="H21" s="3">
        <f t="shared" si="0"/>
        <v>-31</v>
      </c>
      <c r="I21" s="3">
        <f t="shared" si="4"/>
        <v>370</v>
      </c>
      <c r="J21" s="3">
        <v>-120</v>
      </c>
      <c r="K21" s="3">
        <v>0</v>
      </c>
      <c r="L21" s="4">
        <f t="shared" si="1"/>
        <v>-120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2"/>
        <v>28</v>
      </c>
      <c r="E22" s="3">
        <f t="shared" si="3"/>
        <v>2195</v>
      </c>
      <c r="F22" s="3">
        <v>90</v>
      </c>
      <c r="G22" s="3">
        <v>0</v>
      </c>
      <c r="H22" s="3">
        <f t="shared" si="0"/>
        <v>90</v>
      </c>
      <c r="I22" s="3">
        <f t="shared" si="4"/>
        <v>130</v>
      </c>
      <c r="J22" s="3">
        <v>-240</v>
      </c>
      <c r="K22" s="3">
        <v>0</v>
      </c>
      <c r="L22" s="4">
        <f t="shared" si="1"/>
        <v>-240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2"/>
        <v>28</v>
      </c>
      <c r="E23" s="3">
        <f t="shared" si="3"/>
        <v>2200</v>
      </c>
      <c r="F23" s="3">
        <v>5</v>
      </c>
      <c r="G23" s="3">
        <v>0</v>
      </c>
      <c r="H23" s="3">
        <f t="shared" si="0"/>
        <v>5</v>
      </c>
      <c r="I23" s="3">
        <f t="shared" si="4"/>
        <v>130</v>
      </c>
      <c r="J23" s="3">
        <v>0</v>
      </c>
      <c r="K23" s="3">
        <v>0</v>
      </c>
      <c r="L23" s="4">
        <f t="shared" si="1"/>
        <v>0</v>
      </c>
    </row>
    <row r="24" spans="1:14" ht="15" customHeight="1" x14ac:dyDescent="0.35">
      <c r="A24" s="2">
        <v>11</v>
      </c>
      <c r="B24" s="3">
        <v>1</v>
      </c>
      <c r="C24" s="3">
        <v>0</v>
      </c>
      <c r="D24" s="3">
        <f t="shared" si="2"/>
        <v>29</v>
      </c>
      <c r="E24" s="3">
        <f t="shared" si="3"/>
        <v>2320</v>
      </c>
      <c r="F24" s="3">
        <v>0</v>
      </c>
      <c r="G24" s="3">
        <v>120</v>
      </c>
      <c r="H24" s="3">
        <f t="shared" si="0"/>
        <v>120</v>
      </c>
      <c r="I24" s="3">
        <f t="shared" si="4"/>
        <v>130</v>
      </c>
      <c r="J24" s="3">
        <v>0</v>
      </c>
      <c r="K24" s="3">
        <v>0</v>
      </c>
      <c r="L24" s="4">
        <f t="shared" si="1"/>
        <v>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2"/>
        <v>29</v>
      </c>
      <c r="E25" s="3">
        <f t="shared" si="3"/>
        <v>2320</v>
      </c>
      <c r="F25" s="3">
        <v>0</v>
      </c>
      <c r="G25" s="3">
        <v>0</v>
      </c>
      <c r="H25" s="3">
        <f t="shared" si="0"/>
        <v>0</v>
      </c>
      <c r="I25" s="3">
        <f t="shared" si="4"/>
        <v>130</v>
      </c>
      <c r="J25" s="3">
        <v>0</v>
      </c>
      <c r="K25" s="3">
        <v>0</v>
      </c>
      <c r="L25" s="4">
        <f t="shared" si="1"/>
        <v>0</v>
      </c>
    </row>
    <row r="26" spans="1:14" ht="15" customHeight="1" x14ac:dyDescent="0.35">
      <c r="A26" s="2">
        <v>13</v>
      </c>
      <c r="B26" s="3">
        <v>0</v>
      </c>
      <c r="C26" s="3">
        <v>0</v>
      </c>
      <c r="D26" s="3">
        <f t="shared" si="2"/>
        <v>29</v>
      </c>
      <c r="E26" s="3">
        <f t="shared" si="3"/>
        <v>2360</v>
      </c>
      <c r="F26" s="3">
        <v>40</v>
      </c>
      <c r="G26" s="3">
        <v>0</v>
      </c>
      <c r="H26" s="3">
        <f t="shared" si="0"/>
        <v>40</v>
      </c>
      <c r="I26" s="3">
        <f t="shared" si="4"/>
        <v>130</v>
      </c>
      <c r="J26" s="3">
        <v>0</v>
      </c>
      <c r="K26" s="3">
        <v>0</v>
      </c>
      <c r="L26" s="4">
        <f t="shared" si="1"/>
        <v>0</v>
      </c>
    </row>
    <row r="27" spans="1:14" ht="15" customHeight="1" x14ac:dyDescent="0.35">
      <c r="A27" s="2">
        <v>14</v>
      </c>
      <c r="B27" s="3">
        <v>0</v>
      </c>
      <c r="C27" s="3">
        <v>0</v>
      </c>
      <c r="D27" s="3">
        <f t="shared" si="2"/>
        <v>29</v>
      </c>
      <c r="E27" s="3">
        <f t="shared" si="3"/>
        <v>2360</v>
      </c>
      <c r="F27" s="3">
        <v>0</v>
      </c>
      <c r="G27" s="3">
        <v>0</v>
      </c>
      <c r="H27" s="3">
        <f t="shared" si="0"/>
        <v>0</v>
      </c>
      <c r="I27" s="3">
        <f t="shared" si="4"/>
        <v>130</v>
      </c>
      <c r="J27" s="3">
        <v>0</v>
      </c>
      <c r="K27" s="3">
        <v>0</v>
      </c>
      <c r="L27" s="4">
        <f t="shared" si="1"/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2"/>
        <v>29</v>
      </c>
      <c r="E28" s="3">
        <f t="shared" si="3"/>
        <v>2270</v>
      </c>
      <c r="F28" s="3">
        <v>-130</v>
      </c>
      <c r="G28" s="3">
        <v>40</v>
      </c>
      <c r="H28" s="3">
        <f t="shared" si="0"/>
        <v>-90</v>
      </c>
      <c r="I28" s="3">
        <f t="shared" si="4"/>
        <v>130</v>
      </c>
      <c r="J28" s="3">
        <v>0</v>
      </c>
      <c r="K28" s="3">
        <v>0</v>
      </c>
      <c r="L28" s="4">
        <f t="shared" si="1"/>
        <v>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2"/>
        <v>29</v>
      </c>
      <c r="E29" s="3">
        <f t="shared" si="3"/>
        <v>2346</v>
      </c>
      <c r="F29" s="3">
        <v>76</v>
      </c>
      <c r="G29" s="3">
        <v>0</v>
      </c>
      <c r="H29" s="3">
        <f t="shared" si="0"/>
        <v>76</v>
      </c>
      <c r="I29" s="3">
        <f t="shared" si="4"/>
        <v>130</v>
      </c>
      <c r="J29" s="3">
        <v>0</v>
      </c>
      <c r="K29" s="3">
        <v>0</v>
      </c>
      <c r="L29" s="4">
        <f t="shared" si="1"/>
        <v>0</v>
      </c>
    </row>
    <row r="30" spans="1:14" ht="15" customHeight="1" x14ac:dyDescent="0.35">
      <c r="A30" s="2">
        <v>17</v>
      </c>
      <c r="B30" s="3">
        <v>0</v>
      </c>
      <c r="C30" s="3">
        <v>0</v>
      </c>
      <c r="D30" s="3">
        <f t="shared" si="2"/>
        <v>29</v>
      </c>
      <c r="E30" s="3">
        <f t="shared" si="3"/>
        <v>2344</v>
      </c>
      <c r="F30" s="3">
        <v>-2</v>
      </c>
      <c r="G30" s="3">
        <v>0</v>
      </c>
      <c r="H30" s="3">
        <f t="shared" si="0"/>
        <v>-2</v>
      </c>
      <c r="I30" s="3">
        <f t="shared" si="4"/>
        <v>130</v>
      </c>
      <c r="J30" s="3">
        <v>0</v>
      </c>
      <c r="K30" s="3">
        <v>0</v>
      </c>
      <c r="L30" s="4">
        <f t="shared" si="1"/>
        <v>0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2"/>
        <v>29</v>
      </c>
      <c r="E31" s="3">
        <f t="shared" si="3"/>
        <v>2344</v>
      </c>
      <c r="F31" s="3">
        <v>0</v>
      </c>
      <c r="G31" s="3">
        <v>0</v>
      </c>
      <c r="H31" s="3">
        <f t="shared" si="0"/>
        <v>0</v>
      </c>
      <c r="I31" s="3">
        <f t="shared" si="4"/>
        <v>130</v>
      </c>
      <c r="J31" s="3">
        <v>0</v>
      </c>
      <c r="K31" s="3">
        <v>0</v>
      </c>
      <c r="L31" s="4">
        <f t="shared" si="1"/>
        <v>0</v>
      </c>
      <c r="N31" s="32">
        <f t="shared" ref="N31:N42" si="5">E31+I31</f>
        <v>2474</v>
      </c>
    </row>
    <row r="32" spans="1:14" ht="15" customHeight="1" x14ac:dyDescent="0.35">
      <c r="A32" s="2">
        <v>19</v>
      </c>
      <c r="B32" s="3">
        <v>0</v>
      </c>
      <c r="C32" s="3">
        <v>0</v>
      </c>
      <c r="D32" s="3">
        <f t="shared" si="2"/>
        <v>29</v>
      </c>
      <c r="E32" s="3">
        <f t="shared" si="3"/>
        <v>2119</v>
      </c>
      <c r="F32" s="3">
        <v>-225</v>
      </c>
      <c r="G32" s="3">
        <v>0</v>
      </c>
      <c r="H32" s="3">
        <f t="shared" si="0"/>
        <v>-225</v>
      </c>
      <c r="I32" s="3">
        <f t="shared" si="4"/>
        <v>60</v>
      </c>
      <c r="J32" s="3">
        <v>-70</v>
      </c>
      <c r="K32" s="3">
        <v>0</v>
      </c>
      <c r="L32" s="4">
        <f t="shared" si="1"/>
        <v>-70</v>
      </c>
      <c r="N32" s="32">
        <f t="shared" si="5"/>
        <v>2179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2"/>
        <v>29</v>
      </c>
      <c r="E33" s="3">
        <f t="shared" si="3"/>
        <v>2119</v>
      </c>
      <c r="F33" s="3">
        <v>0</v>
      </c>
      <c r="G33" s="3">
        <v>0</v>
      </c>
      <c r="H33" s="3">
        <f t="shared" si="0"/>
        <v>0</v>
      </c>
      <c r="I33" s="3">
        <f t="shared" si="4"/>
        <v>60</v>
      </c>
      <c r="J33" s="3">
        <v>0</v>
      </c>
      <c r="K33" s="3">
        <v>0</v>
      </c>
      <c r="L33" s="4">
        <f t="shared" si="1"/>
        <v>0</v>
      </c>
      <c r="N33" s="32">
        <f t="shared" si="5"/>
        <v>2179</v>
      </c>
    </row>
    <row r="34" spans="1:14" ht="15" customHeight="1" x14ac:dyDescent="0.35">
      <c r="A34" s="2">
        <v>21</v>
      </c>
      <c r="B34" s="3">
        <v>1</v>
      </c>
      <c r="C34" s="3">
        <v>0</v>
      </c>
      <c r="D34" s="3">
        <f t="shared" si="2"/>
        <v>30</v>
      </c>
      <c r="E34" s="3">
        <f t="shared" si="3"/>
        <v>2139</v>
      </c>
      <c r="F34" s="3">
        <v>-10</v>
      </c>
      <c r="G34" s="3">
        <v>30</v>
      </c>
      <c r="H34" s="3">
        <f t="shared" si="0"/>
        <v>20</v>
      </c>
      <c r="I34" s="3">
        <f t="shared" si="4"/>
        <v>60</v>
      </c>
      <c r="J34" s="3">
        <v>0</v>
      </c>
      <c r="K34" s="3">
        <v>0</v>
      </c>
      <c r="L34" s="4">
        <f t="shared" si="1"/>
        <v>0</v>
      </c>
      <c r="N34" s="32">
        <f t="shared" si="5"/>
        <v>2199</v>
      </c>
    </row>
    <row r="35" spans="1:14" ht="15" customHeight="1" x14ac:dyDescent="0.35">
      <c r="A35" s="2">
        <v>22</v>
      </c>
      <c r="B35" s="3">
        <v>0</v>
      </c>
      <c r="C35" s="3">
        <v>0</v>
      </c>
      <c r="D35" s="3">
        <f t="shared" si="2"/>
        <v>30</v>
      </c>
      <c r="E35" s="3">
        <f t="shared" si="3"/>
        <v>2109</v>
      </c>
      <c r="F35" s="3">
        <v>-30</v>
      </c>
      <c r="G35" s="3">
        <v>0</v>
      </c>
      <c r="H35" s="3">
        <f t="shared" si="0"/>
        <v>-30</v>
      </c>
      <c r="I35" s="3">
        <f t="shared" si="4"/>
        <v>60</v>
      </c>
      <c r="J35" s="3">
        <v>0</v>
      </c>
      <c r="K35" s="3">
        <v>0</v>
      </c>
      <c r="L35" s="4">
        <f t="shared" si="1"/>
        <v>0</v>
      </c>
      <c r="N35" s="32">
        <f t="shared" si="5"/>
        <v>2169</v>
      </c>
    </row>
    <row r="36" spans="1:14" ht="15" customHeight="1" x14ac:dyDescent="0.35">
      <c r="A36" s="2">
        <v>23</v>
      </c>
      <c r="B36" s="3">
        <v>1</v>
      </c>
      <c r="C36" s="3">
        <v>0</v>
      </c>
      <c r="D36" s="3">
        <f t="shared" si="2"/>
        <v>31</v>
      </c>
      <c r="E36" s="3">
        <f t="shared" si="3"/>
        <v>2149</v>
      </c>
      <c r="F36" s="3">
        <v>0</v>
      </c>
      <c r="G36" s="3">
        <v>40</v>
      </c>
      <c r="H36" s="3">
        <f t="shared" si="0"/>
        <v>40</v>
      </c>
      <c r="I36" s="3">
        <f t="shared" si="4"/>
        <v>60</v>
      </c>
      <c r="J36" s="3">
        <v>0</v>
      </c>
      <c r="K36" s="3">
        <v>0</v>
      </c>
      <c r="L36" s="4">
        <f t="shared" si="1"/>
        <v>0</v>
      </c>
      <c r="N36" s="32">
        <f>E36+I36</f>
        <v>2209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2"/>
        <v>31</v>
      </c>
      <c r="E37" s="3">
        <f t="shared" si="3"/>
        <v>2149</v>
      </c>
      <c r="F37" s="3">
        <v>0</v>
      </c>
      <c r="G37" s="3">
        <v>0</v>
      </c>
      <c r="H37" s="3">
        <f t="shared" si="0"/>
        <v>0</v>
      </c>
      <c r="I37" s="3">
        <f t="shared" si="4"/>
        <v>60</v>
      </c>
      <c r="J37" s="3">
        <v>0</v>
      </c>
      <c r="K37" s="3">
        <v>0</v>
      </c>
      <c r="L37" s="4">
        <f t="shared" si="1"/>
        <v>0</v>
      </c>
      <c r="N37" s="32">
        <f>E37+I37</f>
        <v>2209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2"/>
        <v>31</v>
      </c>
      <c r="E38" s="3">
        <f t="shared" si="3"/>
        <v>2149</v>
      </c>
      <c r="F38" s="3">
        <v>0</v>
      </c>
      <c r="G38" s="3">
        <v>0</v>
      </c>
      <c r="H38" s="3">
        <f t="shared" si="0"/>
        <v>0</v>
      </c>
      <c r="I38" s="3">
        <f t="shared" si="4"/>
        <v>60</v>
      </c>
      <c r="J38" s="3">
        <v>0</v>
      </c>
      <c r="K38" s="3">
        <v>0</v>
      </c>
      <c r="L38" s="4">
        <f t="shared" si="1"/>
        <v>0</v>
      </c>
      <c r="N38" s="32">
        <f>E38+I38</f>
        <v>2209</v>
      </c>
    </row>
    <row r="39" spans="1:14" ht="15" customHeight="1" x14ac:dyDescent="0.35">
      <c r="A39" s="2">
        <v>26</v>
      </c>
      <c r="B39" s="3">
        <v>1</v>
      </c>
      <c r="C39" s="3">
        <v>0</v>
      </c>
      <c r="D39" s="3">
        <f t="shared" si="2"/>
        <v>32</v>
      </c>
      <c r="E39" s="3">
        <f t="shared" si="3"/>
        <v>2184</v>
      </c>
      <c r="F39" s="3">
        <v>0</v>
      </c>
      <c r="G39" s="3">
        <v>35</v>
      </c>
      <c r="H39" s="3">
        <f t="shared" si="0"/>
        <v>35</v>
      </c>
      <c r="I39" s="3">
        <f t="shared" si="4"/>
        <v>60</v>
      </c>
      <c r="J39" s="3">
        <v>0</v>
      </c>
      <c r="K39" s="3">
        <v>0</v>
      </c>
      <c r="L39" s="4">
        <f t="shared" si="1"/>
        <v>0</v>
      </c>
      <c r="N39" s="32">
        <f t="shared" si="5"/>
        <v>2244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2"/>
        <v>32</v>
      </c>
      <c r="E40" s="3">
        <f t="shared" si="3"/>
        <v>2214</v>
      </c>
      <c r="F40" s="3">
        <v>30</v>
      </c>
      <c r="G40" s="3">
        <v>0</v>
      </c>
      <c r="H40" s="3">
        <f t="shared" si="0"/>
        <v>30</v>
      </c>
      <c r="I40" s="3">
        <f t="shared" si="4"/>
        <v>60</v>
      </c>
      <c r="J40" s="3">
        <v>0</v>
      </c>
      <c r="K40" s="3">
        <v>0</v>
      </c>
      <c r="L40" s="4">
        <f t="shared" si="1"/>
        <v>0</v>
      </c>
      <c r="N40" s="32">
        <f t="shared" si="5"/>
        <v>2274</v>
      </c>
    </row>
    <row r="41" spans="1:14" ht="15" customHeight="1" x14ac:dyDescent="0.35">
      <c r="A41" s="2">
        <v>28</v>
      </c>
      <c r="B41" s="3">
        <v>0</v>
      </c>
      <c r="C41" s="3">
        <v>2</v>
      </c>
      <c r="D41" s="3">
        <f t="shared" ref="D41:D46" si="6">D40+B41-C41</f>
        <v>30</v>
      </c>
      <c r="E41" s="3">
        <f t="shared" ref="E41:E45" si="7">E40+F41+G41</f>
        <v>2034</v>
      </c>
      <c r="F41" s="3">
        <f>-80-10-90</f>
        <v>-180</v>
      </c>
      <c r="G41" s="3">
        <v>0</v>
      </c>
      <c r="H41" s="3">
        <f t="shared" ref="H41:H46" si="8">SUM(F41:G41)</f>
        <v>-180</v>
      </c>
      <c r="I41" s="3">
        <f t="shared" ref="I41:I46" si="9">I40+J41+K41</f>
        <v>40</v>
      </c>
      <c r="J41" s="3">
        <v>-20</v>
      </c>
      <c r="K41" s="3">
        <v>0</v>
      </c>
      <c r="L41" s="4">
        <f t="shared" ref="L41:L46" si="10">SUM(J41:K41)</f>
        <v>-20</v>
      </c>
      <c r="N41" s="32">
        <f t="shared" si="5"/>
        <v>2074</v>
      </c>
    </row>
    <row r="42" spans="1:14" ht="15" customHeight="1" x14ac:dyDescent="0.35">
      <c r="A42" s="2">
        <v>29</v>
      </c>
      <c r="B42" s="3">
        <v>1</v>
      </c>
      <c r="C42" s="3">
        <v>0</v>
      </c>
      <c r="D42" s="3">
        <f t="shared" si="6"/>
        <v>31</v>
      </c>
      <c r="E42" s="3">
        <f t="shared" si="7"/>
        <v>2061</v>
      </c>
      <c r="F42" s="3">
        <v>-3</v>
      </c>
      <c r="G42" s="3">
        <v>30</v>
      </c>
      <c r="H42" s="3">
        <f t="shared" si="8"/>
        <v>27</v>
      </c>
      <c r="I42" s="3">
        <f t="shared" si="9"/>
        <v>0</v>
      </c>
      <c r="J42" s="3">
        <v>-40</v>
      </c>
      <c r="K42" s="3">
        <v>0</v>
      </c>
      <c r="L42" s="4">
        <f t="shared" si="10"/>
        <v>-40</v>
      </c>
      <c r="N42" s="32">
        <f t="shared" si="5"/>
        <v>2061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6"/>
        <v>31</v>
      </c>
      <c r="E43" s="3">
        <f t="shared" si="7"/>
        <v>2054</v>
      </c>
      <c r="F43" s="3">
        <f>30+3-40</f>
        <v>-7</v>
      </c>
      <c r="G43" s="3">
        <v>0</v>
      </c>
      <c r="H43" s="3">
        <f t="shared" si="8"/>
        <v>-7</v>
      </c>
      <c r="I43" s="3">
        <f t="shared" si="9"/>
        <v>0</v>
      </c>
      <c r="J43" s="3">
        <v>0</v>
      </c>
      <c r="K43" s="3">
        <v>0</v>
      </c>
      <c r="L43" s="4">
        <f t="shared" si="10"/>
        <v>0</v>
      </c>
      <c r="N43" s="32">
        <f t="shared" ref="N43" si="11">E43+I43</f>
        <v>2054</v>
      </c>
    </row>
    <row r="44" spans="1:14" ht="15" customHeight="1" x14ac:dyDescent="0.35">
      <c r="A44" s="2">
        <v>31</v>
      </c>
      <c r="B44" s="3">
        <v>1</v>
      </c>
      <c r="C44" s="3">
        <v>2</v>
      </c>
      <c r="D44" s="3">
        <f t="shared" si="6"/>
        <v>30</v>
      </c>
      <c r="E44" s="3">
        <f t="shared" si="7"/>
        <v>1994</v>
      </c>
      <c r="F44" s="3">
        <f>-40-40-20</f>
        <v>-100</v>
      </c>
      <c r="G44" s="3">
        <f>40</f>
        <v>40</v>
      </c>
      <c r="H44" s="3">
        <f t="shared" si="8"/>
        <v>-60</v>
      </c>
      <c r="I44" s="3">
        <f t="shared" si="9"/>
        <v>0</v>
      </c>
      <c r="J44" s="3">
        <v>0</v>
      </c>
      <c r="K44" s="3">
        <v>0</v>
      </c>
      <c r="L44" s="4">
        <f t="shared" si="10"/>
        <v>0</v>
      </c>
      <c r="N44" s="32">
        <f t="shared" ref="N44" si="12">E44+I44</f>
        <v>1994</v>
      </c>
    </row>
    <row r="45" spans="1:14" ht="15" customHeight="1" x14ac:dyDescent="0.35">
      <c r="A45" s="2" t="s">
        <v>39</v>
      </c>
      <c r="B45" s="3">
        <v>1</v>
      </c>
      <c r="C45" s="3">
        <v>0</v>
      </c>
      <c r="D45" s="3">
        <f t="shared" si="6"/>
        <v>31</v>
      </c>
      <c r="E45" s="3">
        <f t="shared" si="7"/>
        <v>2059</v>
      </c>
      <c r="F45" s="3">
        <f>-15</f>
        <v>-15</v>
      </c>
      <c r="G45" s="3">
        <f>40+40</f>
        <v>80</v>
      </c>
      <c r="H45" s="3">
        <f t="shared" si="8"/>
        <v>65</v>
      </c>
      <c r="I45" s="3">
        <f t="shared" si="9"/>
        <v>0</v>
      </c>
      <c r="J45" s="3">
        <v>0</v>
      </c>
      <c r="K45" s="3">
        <v>0</v>
      </c>
      <c r="L45" s="4">
        <f t="shared" si="10"/>
        <v>0</v>
      </c>
      <c r="N45" s="32">
        <f t="shared" ref="N45" si="13">E45+I45</f>
        <v>2059</v>
      </c>
    </row>
    <row r="46" spans="1:14" ht="15" customHeight="1" x14ac:dyDescent="0.35">
      <c r="A46" s="2">
        <v>3</v>
      </c>
      <c r="B46" s="3">
        <v>0</v>
      </c>
      <c r="C46" s="3">
        <v>2</v>
      </c>
      <c r="D46" s="3">
        <f t="shared" si="6"/>
        <v>29</v>
      </c>
      <c r="E46" s="3">
        <f>E45+F46+G46</f>
        <v>1899</v>
      </c>
      <c r="F46" s="3">
        <f>-80-80</f>
        <v>-160</v>
      </c>
      <c r="G46" s="3">
        <v>0</v>
      </c>
      <c r="H46" s="3">
        <f t="shared" si="8"/>
        <v>-160</v>
      </c>
      <c r="I46" s="3">
        <f t="shared" si="9"/>
        <v>0</v>
      </c>
      <c r="J46" s="3">
        <v>0</v>
      </c>
      <c r="K46" s="3">
        <v>0</v>
      </c>
      <c r="L46" s="4">
        <f t="shared" si="10"/>
        <v>0</v>
      </c>
      <c r="N46" s="32">
        <f t="shared" ref="N46:N47" si="14">E46+I46</f>
        <v>1899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>D46+B47-C47</f>
        <v>29</v>
      </c>
      <c r="E47" s="3">
        <f>E46+F47+G47</f>
        <v>1819</v>
      </c>
      <c r="F47" s="3">
        <f>-70-10</f>
        <v>-80</v>
      </c>
      <c r="G47" s="3">
        <v>0</v>
      </c>
      <c r="H47" s="3">
        <f t="shared" ref="H47" si="15">SUM(F47:G47)</f>
        <v>-80</v>
      </c>
      <c r="I47" s="3">
        <f>I46+J47+K47</f>
        <v>0</v>
      </c>
      <c r="J47" s="3">
        <v>0</v>
      </c>
      <c r="K47" s="3">
        <v>0</v>
      </c>
      <c r="L47" s="4">
        <f>SUM(J47:K47)</f>
        <v>0</v>
      </c>
      <c r="N47" s="32">
        <f t="shared" si="14"/>
        <v>1819</v>
      </c>
    </row>
    <row r="48" spans="1:14" ht="15" customHeight="1" x14ac:dyDescent="0.35">
      <c r="A48" s="2">
        <v>5</v>
      </c>
      <c r="B48" s="3">
        <v>0</v>
      </c>
      <c r="C48" s="3">
        <v>0</v>
      </c>
      <c r="D48" s="3">
        <f>D47+B48-C48</f>
        <v>29</v>
      </c>
      <c r="E48" s="3">
        <f t="shared" ref="E48" si="16">E47+F48+G48</f>
        <v>1814</v>
      </c>
      <c r="F48" s="3">
        <f>-5</f>
        <v>-5</v>
      </c>
      <c r="G48" s="3">
        <v>0</v>
      </c>
      <c r="H48" s="3">
        <f t="shared" ref="H48" si="17">SUM(F48:G48)</f>
        <v>-5</v>
      </c>
      <c r="I48" s="3">
        <f t="shared" ref="I48" si="18">I47+J48+K48</f>
        <v>0</v>
      </c>
      <c r="J48" s="3">
        <v>0</v>
      </c>
      <c r="K48" s="3">
        <v>0</v>
      </c>
      <c r="L48" s="4">
        <f>SUM(J48:K48)</f>
        <v>0</v>
      </c>
      <c r="N48" s="32">
        <f t="shared" ref="N48" si="19">E48+I48</f>
        <v>1814</v>
      </c>
    </row>
    <row r="49" spans="1:14" ht="15" customHeight="1" x14ac:dyDescent="0.35">
      <c r="A49" s="2">
        <v>6</v>
      </c>
      <c r="B49" s="3">
        <v>1</v>
      </c>
      <c r="C49" s="3">
        <v>0</v>
      </c>
      <c r="D49" s="3">
        <f>D48+B49-C49</f>
        <v>30</v>
      </c>
      <c r="E49" s="3">
        <f>E48+F49+G49</f>
        <v>1854</v>
      </c>
      <c r="F49" s="3">
        <f>10-10</f>
        <v>0</v>
      </c>
      <c r="G49" s="3">
        <f>40</f>
        <v>40</v>
      </c>
      <c r="H49" s="3">
        <f>SUM(F49:G49)</f>
        <v>40</v>
      </c>
      <c r="I49" s="3">
        <f>I48+J49+K49</f>
        <v>0</v>
      </c>
      <c r="J49" s="3">
        <v>0</v>
      </c>
      <c r="K49" s="3">
        <v>0</v>
      </c>
      <c r="L49" s="4">
        <f t="shared" ref="L49" si="20">SUM(J49:K49)</f>
        <v>0</v>
      </c>
      <c r="N49" s="32">
        <f>E49+I49</f>
        <v>1854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>D49+B50-C50</f>
        <v>29</v>
      </c>
      <c r="E50" s="6">
        <f>E49+F50+G50</f>
        <v>1644</v>
      </c>
      <c r="F50" s="6">
        <f>-39-18-50-40-40+5-24-4</f>
        <v>-210</v>
      </c>
      <c r="G50" s="6">
        <v>0</v>
      </c>
      <c r="H50" s="6">
        <f>SUM(F50:G50)</f>
        <v>-210</v>
      </c>
      <c r="I50" s="6">
        <f>I49+J50+K50</f>
        <v>0</v>
      </c>
      <c r="J50" s="6">
        <v>0</v>
      </c>
      <c r="K50" s="6">
        <v>0</v>
      </c>
      <c r="L50" s="12">
        <f t="shared" ref="L50" si="21">SUM(J50:K50)</f>
        <v>0</v>
      </c>
      <c r="N50" s="32">
        <f>E50+I50</f>
        <v>1644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5">
    <mergeCell ref="A1:L1"/>
    <mergeCell ref="H3:L3"/>
    <mergeCell ref="E4:L4"/>
    <mergeCell ref="G51:L51"/>
    <mergeCell ref="F5:H5"/>
    <mergeCell ref="J5:L5"/>
    <mergeCell ref="A51:E51"/>
    <mergeCell ref="A3:B3"/>
    <mergeCell ref="A4:A6"/>
    <mergeCell ref="B5:B6"/>
    <mergeCell ref="C5:C6"/>
    <mergeCell ref="D5:D6"/>
    <mergeCell ref="E5:E6"/>
    <mergeCell ref="I5:I6"/>
    <mergeCell ref="B4:D4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  <ignoredErrors>
    <ignoredError sqref="B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28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5+1+1</f>
        <v>7</v>
      </c>
      <c r="C7" s="9">
        <v>0</v>
      </c>
      <c r="D7" s="9">
        <f>B7-C7</f>
        <v>7</v>
      </c>
      <c r="E7" s="9">
        <f>SUM(F7:G7)</f>
        <v>465</v>
      </c>
      <c r="F7" s="9">
        <v>50</v>
      </c>
      <c r="G7" s="9">
        <f>185+150+80</f>
        <v>415</v>
      </c>
      <c r="H7" s="9">
        <f>SUM(F7:G7)</f>
        <v>465</v>
      </c>
      <c r="I7" s="9">
        <f>SUM(J7:K7)</f>
        <v>220</v>
      </c>
      <c r="J7" s="9">
        <v>40</v>
      </c>
      <c r="K7" s="9">
        <f>40+100+40</f>
        <v>180</v>
      </c>
      <c r="L7" s="13">
        <f>SUM(J7:K7)</f>
        <v>220</v>
      </c>
    </row>
    <row r="8" spans="1:12" ht="15" customHeight="1" x14ac:dyDescent="0.35">
      <c r="A8" s="27" t="s">
        <v>16</v>
      </c>
      <c r="B8" s="3">
        <f>2+1+3</f>
        <v>6</v>
      </c>
      <c r="C8" s="3">
        <v>0</v>
      </c>
      <c r="D8" s="3">
        <f>D7+B8-C8</f>
        <v>13</v>
      </c>
      <c r="E8" s="3">
        <f>E7+F8+G8</f>
        <v>955</v>
      </c>
      <c r="F8" s="3">
        <f>120+25</f>
        <v>145</v>
      </c>
      <c r="G8" s="3">
        <f>70+275</f>
        <v>345</v>
      </c>
      <c r="H8" s="3">
        <f t="shared" ref="H8:H40" si="0">SUM(F8:G8)</f>
        <v>490</v>
      </c>
      <c r="I8" s="3">
        <f>I7+J8+K8</f>
        <v>590</v>
      </c>
      <c r="J8" s="3">
        <f>5+55</f>
        <v>60</v>
      </c>
      <c r="K8" s="3">
        <f>80+230</f>
        <v>310</v>
      </c>
      <c r="L8" s="14">
        <f t="shared" ref="L8:L40" si="1">SUM(J8:K8)</f>
        <v>370</v>
      </c>
    </row>
    <row r="9" spans="1:12" ht="15" customHeight="1" x14ac:dyDescent="0.35">
      <c r="A9" s="27" t="s">
        <v>17</v>
      </c>
      <c r="B9" s="3">
        <f>4+5+4+4+4</f>
        <v>21</v>
      </c>
      <c r="C9" s="3">
        <v>0</v>
      </c>
      <c r="D9" s="3">
        <f t="shared" ref="D9:D40" si="2">D8+B9-C9</f>
        <v>34</v>
      </c>
      <c r="E9" s="3">
        <f t="shared" ref="E9:E40" si="3">E8+F9+G9</f>
        <v>2640</v>
      </c>
      <c r="F9" s="3">
        <f>40+190+150+65</f>
        <v>445</v>
      </c>
      <c r="G9" s="3">
        <f>180+235+305+250+270</f>
        <v>1240</v>
      </c>
      <c r="H9" s="3">
        <f t="shared" si="0"/>
        <v>1685</v>
      </c>
      <c r="I9" s="3">
        <f t="shared" ref="I9:I40" si="4">I8+J9+K9</f>
        <v>1685</v>
      </c>
      <c r="J9" s="3">
        <f>180+90+5</f>
        <v>275</v>
      </c>
      <c r="K9" s="3">
        <f>40+270+40+170+300</f>
        <v>820</v>
      </c>
      <c r="L9" s="14">
        <f t="shared" si="1"/>
        <v>1095</v>
      </c>
    </row>
    <row r="10" spans="1:12" ht="15" customHeight="1" x14ac:dyDescent="0.35">
      <c r="A10" s="2" t="s">
        <v>18</v>
      </c>
      <c r="B10" s="3">
        <f>2+4+3+1+1</f>
        <v>11</v>
      </c>
      <c r="C10" s="3">
        <v>2</v>
      </c>
      <c r="D10" s="3">
        <f t="shared" si="2"/>
        <v>43</v>
      </c>
      <c r="E10" s="3">
        <f t="shared" si="3"/>
        <v>4138</v>
      </c>
      <c r="F10" s="3">
        <f>270+330+45+113-5</f>
        <v>753</v>
      </c>
      <c r="G10" s="3">
        <f>170+120+335+70+50</f>
        <v>745</v>
      </c>
      <c r="H10" s="3">
        <f t="shared" si="0"/>
        <v>1498</v>
      </c>
      <c r="I10" s="3">
        <f t="shared" si="4"/>
        <v>2330</v>
      </c>
      <c r="J10" s="3">
        <f>170+190+20-160</f>
        <v>220</v>
      </c>
      <c r="K10" s="3">
        <f>50+80+255+40</f>
        <v>425</v>
      </c>
      <c r="L10" s="14">
        <f t="shared" si="1"/>
        <v>645</v>
      </c>
    </row>
    <row r="11" spans="1:12" ht="15" customHeight="1" x14ac:dyDescent="0.35">
      <c r="A11" s="2" t="s">
        <v>19</v>
      </c>
      <c r="B11" s="3">
        <f>1+2+1</f>
        <v>4</v>
      </c>
      <c r="C11" s="3">
        <v>2</v>
      </c>
      <c r="D11" s="3">
        <f t="shared" si="2"/>
        <v>45</v>
      </c>
      <c r="E11" s="3">
        <f t="shared" si="3"/>
        <v>4659</v>
      </c>
      <c r="F11" s="3">
        <f>211+20+130-230</f>
        <v>131</v>
      </c>
      <c r="G11" s="3">
        <f>100+200+90</f>
        <v>390</v>
      </c>
      <c r="H11" s="3">
        <f t="shared" si="0"/>
        <v>521</v>
      </c>
      <c r="I11" s="3">
        <f t="shared" si="4"/>
        <v>2280</v>
      </c>
      <c r="J11" s="3">
        <f>60-50-50-70-90</f>
        <v>-200</v>
      </c>
      <c r="K11" s="3">
        <f>50+100</f>
        <v>150</v>
      </c>
      <c r="L11" s="14">
        <f t="shared" si="1"/>
        <v>-50</v>
      </c>
    </row>
    <row r="12" spans="1:12" ht="15" customHeight="1" x14ac:dyDescent="0.35">
      <c r="A12" s="2" t="s">
        <v>23</v>
      </c>
      <c r="B12" s="3">
        <f>1+1+1+1</f>
        <v>4</v>
      </c>
      <c r="C12" s="3">
        <v>2</v>
      </c>
      <c r="D12" s="3">
        <f t="shared" si="2"/>
        <v>47</v>
      </c>
      <c r="E12" s="3">
        <f t="shared" si="3"/>
        <v>4789</v>
      </c>
      <c r="F12" s="3">
        <f>60+40-10-170+35</f>
        <v>-45</v>
      </c>
      <c r="G12" s="3">
        <f>40+50+40+45</f>
        <v>175</v>
      </c>
      <c r="H12" s="3">
        <f t="shared" si="0"/>
        <v>130</v>
      </c>
      <c r="I12" s="3">
        <f t="shared" si="4"/>
        <v>1775</v>
      </c>
      <c r="J12" s="3">
        <f>-90-50-150-160-55</f>
        <v>-505</v>
      </c>
      <c r="K12" s="3">
        <v>0</v>
      </c>
      <c r="L12" s="14">
        <f t="shared" si="1"/>
        <v>-505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47</v>
      </c>
      <c r="E13" s="3">
        <f t="shared" si="3"/>
        <v>4839</v>
      </c>
      <c r="F13" s="3">
        <v>50</v>
      </c>
      <c r="G13" s="3">
        <v>0</v>
      </c>
      <c r="H13" s="3">
        <f t="shared" si="0"/>
        <v>50</v>
      </c>
      <c r="I13" s="3">
        <f t="shared" si="4"/>
        <v>1825</v>
      </c>
      <c r="J13" s="3">
        <v>50</v>
      </c>
      <c r="K13" s="3">
        <v>0</v>
      </c>
      <c r="L13" s="14">
        <f t="shared" si="1"/>
        <v>50</v>
      </c>
    </row>
    <row r="14" spans="1:12" ht="15" customHeight="1" x14ac:dyDescent="0.35">
      <c r="A14" s="2" t="s">
        <v>38</v>
      </c>
      <c r="B14" s="3">
        <v>1</v>
      </c>
      <c r="C14" s="3">
        <v>0</v>
      </c>
      <c r="D14" s="3">
        <f t="shared" si="2"/>
        <v>48</v>
      </c>
      <c r="E14" s="3">
        <f t="shared" si="3"/>
        <v>4969</v>
      </c>
      <c r="F14" s="3">
        <v>50</v>
      </c>
      <c r="G14" s="3">
        <v>80</v>
      </c>
      <c r="H14" s="3">
        <f t="shared" si="0"/>
        <v>130</v>
      </c>
      <c r="I14" s="3">
        <f t="shared" si="4"/>
        <v>1825</v>
      </c>
      <c r="J14" s="3">
        <v>0</v>
      </c>
      <c r="K14" s="3">
        <v>0</v>
      </c>
      <c r="L14" s="14">
        <f t="shared" si="1"/>
        <v>0</v>
      </c>
    </row>
    <row r="15" spans="1:12" ht="15" customHeight="1" x14ac:dyDescent="0.35">
      <c r="A15" s="2">
        <v>2</v>
      </c>
      <c r="B15" s="3">
        <v>1</v>
      </c>
      <c r="C15" s="3">
        <v>1</v>
      </c>
      <c r="D15" s="3">
        <f t="shared" si="2"/>
        <v>48</v>
      </c>
      <c r="E15" s="3">
        <f t="shared" si="3"/>
        <v>4924</v>
      </c>
      <c r="F15" s="3">
        <v>-45</v>
      </c>
      <c r="G15" s="3">
        <v>0</v>
      </c>
      <c r="H15" s="3">
        <f t="shared" si="0"/>
        <v>-45</v>
      </c>
      <c r="I15" s="3">
        <f t="shared" si="4"/>
        <v>1815</v>
      </c>
      <c r="J15" s="3">
        <v>-10</v>
      </c>
      <c r="K15" s="3">
        <v>0</v>
      </c>
      <c r="L15" s="14">
        <f t="shared" si="1"/>
        <v>-10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48</v>
      </c>
      <c r="E16" s="3">
        <f t="shared" si="3"/>
        <v>4874</v>
      </c>
      <c r="F16" s="3">
        <v>-150</v>
      </c>
      <c r="G16" s="3">
        <v>100</v>
      </c>
      <c r="H16" s="3">
        <f t="shared" si="0"/>
        <v>-50</v>
      </c>
      <c r="I16" s="3">
        <f t="shared" si="4"/>
        <v>1755</v>
      </c>
      <c r="J16" s="3">
        <v>-60</v>
      </c>
      <c r="K16" s="3">
        <v>0</v>
      </c>
      <c r="L16" s="14">
        <f t="shared" si="1"/>
        <v>-60</v>
      </c>
    </row>
    <row r="17" spans="1:14" ht="15" customHeight="1" x14ac:dyDescent="0.35">
      <c r="A17" s="2">
        <v>4</v>
      </c>
      <c r="B17" s="3">
        <v>1</v>
      </c>
      <c r="C17" s="3">
        <v>2</v>
      </c>
      <c r="D17" s="3">
        <f t="shared" si="2"/>
        <v>47</v>
      </c>
      <c r="E17" s="3">
        <f t="shared" si="3"/>
        <v>4824</v>
      </c>
      <c r="F17" s="3">
        <v>-90</v>
      </c>
      <c r="G17" s="3">
        <v>40</v>
      </c>
      <c r="H17" s="3">
        <f t="shared" si="0"/>
        <v>-50</v>
      </c>
      <c r="I17" s="3">
        <f t="shared" si="4"/>
        <v>1575</v>
      </c>
      <c r="J17" s="3">
        <v>-180</v>
      </c>
      <c r="K17" s="3">
        <v>0</v>
      </c>
      <c r="L17" s="14">
        <f t="shared" si="1"/>
        <v>-180</v>
      </c>
    </row>
    <row r="18" spans="1:14" ht="15" customHeight="1" x14ac:dyDescent="0.35">
      <c r="A18" s="2">
        <v>5</v>
      </c>
      <c r="B18" s="3">
        <v>3</v>
      </c>
      <c r="C18" s="3">
        <v>2</v>
      </c>
      <c r="D18" s="3">
        <f t="shared" si="2"/>
        <v>48</v>
      </c>
      <c r="E18" s="3">
        <f t="shared" si="3"/>
        <v>4889</v>
      </c>
      <c r="F18" s="3">
        <v>-20</v>
      </c>
      <c r="G18" s="3">
        <v>85</v>
      </c>
      <c r="H18" s="3">
        <f t="shared" si="0"/>
        <v>65</v>
      </c>
      <c r="I18" s="3">
        <f t="shared" si="4"/>
        <v>1325</v>
      </c>
      <c r="J18" s="3">
        <v>-250</v>
      </c>
      <c r="K18" s="3">
        <v>0</v>
      </c>
      <c r="L18" s="14">
        <f t="shared" si="1"/>
        <v>-250</v>
      </c>
    </row>
    <row r="19" spans="1:14" ht="15" customHeight="1" x14ac:dyDescent="0.35">
      <c r="A19" s="2">
        <v>6</v>
      </c>
      <c r="B19" s="3">
        <v>1</v>
      </c>
      <c r="C19" s="3">
        <v>0</v>
      </c>
      <c r="D19" s="3">
        <f t="shared" si="2"/>
        <v>49</v>
      </c>
      <c r="E19" s="3">
        <f t="shared" si="3"/>
        <v>4959</v>
      </c>
      <c r="F19" s="3">
        <v>30</v>
      </c>
      <c r="G19" s="3">
        <v>40</v>
      </c>
      <c r="H19" s="3">
        <f t="shared" si="0"/>
        <v>70</v>
      </c>
      <c r="I19" s="3">
        <f t="shared" si="4"/>
        <v>1225</v>
      </c>
      <c r="J19" s="3">
        <v>-100</v>
      </c>
      <c r="K19" s="3">
        <v>0</v>
      </c>
      <c r="L19" s="14">
        <f t="shared" si="1"/>
        <v>-100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2"/>
        <v>49</v>
      </c>
      <c r="E20" s="3">
        <f t="shared" si="3"/>
        <v>5025</v>
      </c>
      <c r="F20" s="3">
        <v>66</v>
      </c>
      <c r="G20" s="3">
        <v>0</v>
      </c>
      <c r="H20" s="3">
        <f t="shared" si="0"/>
        <v>66</v>
      </c>
      <c r="I20" s="3">
        <f t="shared" si="4"/>
        <v>985</v>
      </c>
      <c r="J20" s="3">
        <v>-240</v>
      </c>
      <c r="K20" s="3">
        <v>0</v>
      </c>
      <c r="L20" s="14">
        <f t="shared" si="1"/>
        <v>-240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2"/>
        <v>49</v>
      </c>
      <c r="E21" s="3">
        <f t="shared" si="3"/>
        <v>5124</v>
      </c>
      <c r="F21" s="3">
        <v>99</v>
      </c>
      <c r="G21" s="3">
        <v>0</v>
      </c>
      <c r="H21" s="3">
        <f t="shared" si="0"/>
        <v>99</v>
      </c>
      <c r="I21" s="3">
        <f t="shared" si="4"/>
        <v>1025</v>
      </c>
      <c r="J21" s="3">
        <v>40</v>
      </c>
      <c r="K21" s="3">
        <v>0</v>
      </c>
      <c r="L21" s="14">
        <f t="shared" si="1"/>
        <v>40</v>
      </c>
    </row>
    <row r="22" spans="1:14" ht="15" customHeight="1" x14ac:dyDescent="0.35">
      <c r="A22" s="2">
        <v>9</v>
      </c>
      <c r="B22" s="3">
        <v>1</v>
      </c>
      <c r="C22" s="3">
        <v>1</v>
      </c>
      <c r="D22" s="3">
        <f t="shared" si="2"/>
        <v>49</v>
      </c>
      <c r="E22" s="3">
        <f t="shared" si="3"/>
        <v>5424</v>
      </c>
      <c r="F22" s="3">
        <v>260</v>
      </c>
      <c r="G22" s="3">
        <v>40</v>
      </c>
      <c r="H22" s="3">
        <f t="shared" si="0"/>
        <v>300</v>
      </c>
      <c r="I22" s="3">
        <f t="shared" si="4"/>
        <v>1025</v>
      </c>
      <c r="J22" s="3">
        <v>0</v>
      </c>
      <c r="K22" s="3">
        <v>0</v>
      </c>
      <c r="L22" s="14">
        <f t="shared" si="1"/>
        <v>0</v>
      </c>
    </row>
    <row r="23" spans="1:14" ht="15" customHeight="1" x14ac:dyDescent="0.35">
      <c r="A23" s="2">
        <v>10</v>
      </c>
      <c r="B23" s="3">
        <v>1</v>
      </c>
      <c r="C23" s="3">
        <v>0</v>
      </c>
      <c r="D23" s="3">
        <f t="shared" si="2"/>
        <v>50</v>
      </c>
      <c r="E23" s="3">
        <f t="shared" si="3"/>
        <v>5474</v>
      </c>
      <c r="F23" s="3">
        <v>-30</v>
      </c>
      <c r="G23" s="3">
        <v>80</v>
      </c>
      <c r="H23" s="3">
        <f t="shared" si="0"/>
        <v>50</v>
      </c>
      <c r="I23" s="3">
        <f t="shared" si="4"/>
        <v>1025</v>
      </c>
      <c r="J23" s="3">
        <v>0</v>
      </c>
      <c r="K23" s="3">
        <v>0</v>
      </c>
      <c r="L23" s="14">
        <f t="shared" si="1"/>
        <v>0</v>
      </c>
    </row>
    <row r="24" spans="1:14" ht="15" customHeight="1" x14ac:dyDescent="0.35">
      <c r="A24" s="2">
        <v>11</v>
      </c>
      <c r="B24" s="3">
        <v>0</v>
      </c>
      <c r="C24" s="3">
        <v>3</v>
      </c>
      <c r="D24" s="3">
        <f t="shared" si="2"/>
        <v>47</v>
      </c>
      <c r="E24" s="3">
        <f t="shared" si="3"/>
        <v>5144</v>
      </c>
      <c r="F24" s="3">
        <v>-330</v>
      </c>
      <c r="G24" s="3">
        <v>0</v>
      </c>
      <c r="H24" s="3">
        <f t="shared" si="0"/>
        <v>-330</v>
      </c>
      <c r="I24" s="3">
        <f t="shared" si="4"/>
        <v>1015</v>
      </c>
      <c r="J24" s="3">
        <v>-10</v>
      </c>
      <c r="K24" s="3">
        <v>0</v>
      </c>
      <c r="L24" s="14">
        <f t="shared" si="1"/>
        <v>-10</v>
      </c>
    </row>
    <row r="25" spans="1:14" ht="15" customHeight="1" x14ac:dyDescent="0.35">
      <c r="A25" s="2">
        <v>12</v>
      </c>
      <c r="B25" s="3">
        <v>1</v>
      </c>
      <c r="C25" s="3">
        <v>0</v>
      </c>
      <c r="D25" s="3">
        <f t="shared" si="2"/>
        <v>48</v>
      </c>
      <c r="E25" s="3">
        <f t="shared" si="3"/>
        <v>5309</v>
      </c>
      <c r="F25" s="3">
        <v>50</v>
      </c>
      <c r="G25" s="3">
        <v>115</v>
      </c>
      <c r="H25" s="3">
        <f t="shared" si="0"/>
        <v>165</v>
      </c>
      <c r="I25" s="3">
        <f t="shared" si="4"/>
        <v>925</v>
      </c>
      <c r="J25" s="3">
        <v>-90</v>
      </c>
      <c r="K25" s="3">
        <v>0</v>
      </c>
      <c r="L25" s="14">
        <f t="shared" si="1"/>
        <v>-90</v>
      </c>
    </row>
    <row r="26" spans="1:14" ht="15" customHeight="1" x14ac:dyDescent="0.35">
      <c r="A26" s="2">
        <v>13</v>
      </c>
      <c r="B26" s="3">
        <v>1</v>
      </c>
      <c r="C26" s="3">
        <v>0</v>
      </c>
      <c r="D26" s="3">
        <f t="shared" si="2"/>
        <v>49</v>
      </c>
      <c r="E26" s="3">
        <f t="shared" si="3"/>
        <v>5251</v>
      </c>
      <c r="F26" s="3">
        <v>-58</v>
      </c>
      <c r="G26" s="3">
        <v>0</v>
      </c>
      <c r="H26" s="3">
        <f t="shared" si="0"/>
        <v>-58</v>
      </c>
      <c r="I26" s="3">
        <f t="shared" si="4"/>
        <v>925</v>
      </c>
      <c r="J26" s="3">
        <v>0</v>
      </c>
      <c r="K26" s="3">
        <v>0</v>
      </c>
      <c r="L26" s="14">
        <f t="shared" si="1"/>
        <v>0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2"/>
        <v>50</v>
      </c>
      <c r="E27" s="3">
        <f t="shared" si="3"/>
        <v>5211</v>
      </c>
      <c r="F27" s="3">
        <v>-80</v>
      </c>
      <c r="G27" s="3">
        <v>40</v>
      </c>
      <c r="H27" s="3">
        <f t="shared" si="0"/>
        <v>-40</v>
      </c>
      <c r="I27" s="3">
        <f t="shared" si="4"/>
        <v>970</v>
      </c>
      <c r="J27" s="3">
        <v>5</v>
      </c>
      <c r="K27" s="3">
        <v>40</v>
      </c>
      <c r="L27" s="14">
        <f t="shared" si="1"/>
        <v>45</v>
      </c>
    </row>
    <row r="28" spans="1:14" ht="15" customHeight="1" x14ac:dyDescent="0.35">
      <c r="A28" s="2">
        <v>15</v>
      </c>
      <c r="B28" s="3">
        <v>2</v>
      </c>
      <c r="C28" s="3">
        <v>0</v>
      </c>
      <c r="D28" s="3">
        <f t="shared" si="2"/>
        <v>52</v>
      </c>
      <c r="E28" s="3">
        <f>E27+F28+G28</f>
        <v>5176</v>
      </c>
      <c r="F28" s="3">
        <v>-145</v>
      </c>
      <c r="G28" s="3">
        <v>110</v>
      </c>
      <c r="H28" s="3">
        <f t="shared" si="0"/>
        <v>-35</v>
      </c>
      <c r="I28" s="3">
        <f t="shared" si="4"/>
        <v>935</v>
      </c>
      <c r="J28" s="3">
        <v>-35</v>
      </c>
      <c r="K28" s="3">
        <v>0</v>
      </c>
      <c r="L28" s="14">
        <f t="shared" si="1"/>
        <v>-35</v>
      </c>
    </row>
    <row r="29" spans="1:14" ht="15" customHeight="1" x14ac:dyDescent="0.35">
      <c r="A29" s="2">
        <v>16</v>
      </c>
      <c r="B29" s="3">
        <v>1</v>
      </c>
      <c r="C29" s="3">
        <v>1</v>
      </c>
      <c r="D29" s="3">
        <f t="shared" si="2"/>
        <v>52</v>
      </c>
      <c r="E29" s="3">
        <f t="shared" si="3"/>
        <v>5226</v>
      </c>
      <c r="F29" s="3">
        <v>-70</v>
      </c>
      <c r="G29" s="3">
        <v>120</v>
      </c>
      <c r="H29" s="3">
        <f t="shared" si="0"/>
        <v>50</v>
      </c>
      <c r="I29" s="3">
        <f t="shared" si="4"/>
        <v>935</v>
      </c>
      <c r="J29" s="3">
        <v>0</v>
      </c>
      <c r="K29" s="3">
        <v>0</v>
      </c>
      <c r="L29" s="14">
        <f t="shared" si="1"/>
        <v>0</v>
      </c>
    </row>
    <row r="30" spans="1:14" ht="15" customHeight="1" x14ac:dyDescent="0.35">
      <c r="A30" s="2">
        <v>17</v>
      </c>
      <c r="B30" s="3">
        <v>2</v>
      </c>
      <c r="C30" s="3">
        <v>3</v>
      </c>
      <c r="D30" s="3">
        <f t="shared" si="2"/>
        <v>51</v>
      </c>
      <c r="E30" s="3">
        <f t="shared" si="3"/>
        <v>5201</v>
      </c>
      <c r="F30" s="3">
        <v>-115</v>
      </c>
      <c r="G30" s="3">
        <v>90</v>
      </c>
      <c r="H30" s="3">
        <f t="shared" si="0"/>
        <v>-25</v>
      </c>
      <c r="I30" s="3">
        <f t="shared" si="4"/>
        <v>765</v>
      </c>
      <c r="J30" s="3">
        <v>-190</v>
      </c>
      <c r="K30" s="3">
        <v>20</v>
      </c>
      <c r="L30" s="14">
        <f t="shared" si="1"/>
        <v>-170</v>
      </c>
    </row>
    <row r="31" spans="1:14" ht="15" customHeight="1" x14ac:dyDescent="0.35">
      <c r="A31" s="2">
        <v>18</v>
      </c>
      <c r="B31" s="3">
        <v>2</v>
      </c>
      <c r="C31" s="3">
        <v>0</v>
      </c>
      <c r="D31" s="3">
        <f t="shared" si="2"/>
        <v>53</v>
      </c>
      <c r="E31" s="3">
        <f t="shared" si="3"/>
        <v>5341</v>
      </c>
      <c r="F31" s="3">
        <v>-140</v>
      </c>
      <c r="G31" s="3">
        <v>280</v>
      </c>
      <c r="H31" s="3">
        <f t="shared" si="0"/>
        <v>140</v>
      </c>
      <c r="I31" s="3">
        <f t="shared" si="4"/>
        <v>805</v>
      </c>
      <c r="J31" s="3">
        <v>0</v>
      </c>
      <c r="K31" s="3">
        <v>40</v>
      </c>
      <c r="L31" s="14">
        <f t="shared" si="1"/>
        <v>40</v>
      </c>
      <c r="N31" s="32">
        <f t="shared" ref="N31:N40" si="5">E31+I31</f>
        <v>6146</v>
      </c>
    </row>
    <row r="32" spans="1:14" ht="15" customHeight="1" x14ac:dyDescent="0.35">
      <c r="A32" s="2">
        <v>19</v>
      </c>
      <c r="B32" s="3">
        <v>0</v>
      </c>
      <c r="C32" s="3">
        <v>0</v>
      </c>
      <c r="D32" s="3">
        <f t="shared" si="2"/>
        <v>53</v>
      </c>
      <c r="E32" s="3">
        <f t="shared" si="3"/>
        <v>5281</v>
      </c>
      <c r="F32" s="3">
        <v>-60</v>
      </c>
      <c r="G32" s="3">
        <v>0</v>
      </c>
      <c r="H32" s="3">
        <f t="shared" si="0"/>
        <v>-60</v>
      </c>
      <c r="I32" s="3">
        <f t="shared" si="4"/>
        <v>785</v>
      </c>
      <c r="J32" s="3">
        <v>-20</v>
      </c>
      <c r="K32" s="3">
        <v>0</v>
      </c>
      <c r="L32" s="14">
        <f t="shared" si="1"/>
        <v>-20</v>
      </c>
      <c r="N32" s="32">
        <f t="shared" si="5"/>
        <v>6066</v>
      </c>
    </row>
    <row r="33" spans="1:14" ht="15" customHeight="1" x14ac:dyDescent="0.35">
      <c r="A33" s="2">
        <v>20</v>
      </c>
      <c r="B33" s="3">
        <v>0</v>
      </c>
      <c r="C33" s="3">
        <v>1</v>
      </c>
      <c r="D33" s="3">
        <f t="shared" si="2"/>
        <v>52</v>
      </c>
      <c r="E33" s="3">
        <f t="shared" si="3"/>
        <v>5137</v>
      </c>
      <c r="F33" s="3">
        <v>-144</v>
      </c>
      <c r="G33" s="3">
        <v>0</v>
      </c>
      <c r="H33" s="3">
        <f t="shared" si="0"/>
        <v>-144</v>
      </c>
      <c r="I33" s="3">
        <f t="shared" si="4"/>
        <v>745</v>
      </c>
      <c r="J33" s="3">
        <v>-40</v>
      </c>
      <c r="K33" s="3">
        <v>0</v>
      </c>
      <c r="L33" s="14">
        <f t="shared" si="1"/>
        <v>-40</v>
      </c>
      <c r="N33" s="32">
        <f t="shared" si="5"/>
        <v>5882</v>
      </c>
    </row>
    <row r="34" spans="1:14" ht="15" customHeight="1" x14ac:dyDescent="0.35">
      <c r="A34" s="2">
        <v>21</v>
      </c>
      <c r="B34" s="3">
        <v>0</v>
      </c>
      <c r="C34" s="3">
        <v>0</v>
      </c>
      <c r="D34" s="3">
        <f t="shared" si="2"/>
        <v>52</v>
      </c>
      <c r="E34" s="3">
        <f t="shared" si="3"/>
        <v>5007</v>
      </c>
      <c r="F34" s="3">
        <v>-130</v>
      </c>
      <c r="G34" s="3">
        <v>0</v>
      </c>
      <c r="H34" s="3">
        <f t="shared" si="0"/>
        <v>-130</v>
      </c>
      <c r="I34" s="3">
        <f t="shared" si="4"/>
        <v>745</v>
      </c>
      <c r="J34" s="3">
        <v>0</v>
      </c>
      <c r="K34" s="3">
        <v>0</v>
      </c>
      <c r="L34" s="14">
        <f t="shared" si="1"/>
        <v>0</v>
      </c>
      <c r="N34" s="32">
        <f t="shared" si="5"/>
        <v>5752</v>
      </c>
    </row>
    <row r="35" spans="1:14" ht="15" customHeight="1" x14ac:dyDescent="0.35">
      <c r="A35" s="2">
        <v>22</v>
      </c>
      <c r="B35" s="3">
        <v>0</v>
      </c>
      <c r="C35" s="3">
        <v>1</v>
      </c>
      <c r="D35" s="3">
        <f t="shared" si="2"/>
        <v>51</v>
      </c>
      <c r="E35" s="3">
        <f t="shared" si="3"/>
        <v>4867</v>
      </c>
      <c r="F35" s="3">
        <v>-140</v>
      </c>
      <c r="G35" s="3">
        <v>0</v>
      </c>
      <c r="H35" s="3">
        <f t="shared" si="0"/>
        <v>-140</v>
      </c>
      <c r="I35" s="3">
        <f t="shared" si="4"/>
        <v>665</v>
      </c>
      <c r="J35" s="3">
        <v>-80</v>
      </c>
      <c r="K35" s="3">
        <v>0</v>
      </c>
      <c r="L35" s="14">
        <f t="shared" si="1"/>
        <v>-80</v>
      </c>
      <c r="N35" s="32">
        <f t="shared" si="5"/>
        <v>5532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2"/>
        <v>51</v>
      </c>
      <c r="E36" s="3">
        <f t="shared" si="3"/>
        <v>4876</v>
      </c>
      <c r="F36" s="3">
        <f>-20+39-40+30</f>
        <v>9</v>
      </c>
      <c r="G36" s="3">
        <v>0</v>
      </c>
      <c r="H36" s="3">
        <f t="shared" si="0"/>
        <v>9</v>
      </c>
      <c r="I36" s="3">
        <f t="shared" si="4"/>
        <v>665</v>
      </c>
      <c r="J36" s="3">
        <v>0</v>
      </c>
      <c r="K36" s="3">
        <v>0</v>
      </c>
      <c r="L36" s="14">
        <f t="shared" si="1"/>
        <v>0</v>
      </c>
      <c r="N36" s="32">
        <f t="shared" si="5"/>
        <v>5541</v>
      </c>
    </row>
    <row r="37" spans="1:14" ht="15" customHeight="1" x14ac:dyDescent="0.35">
      <c r="A37" s="2">
        <v>24</v>
      </c>
      <c r="B37" s="3">
        <v>1</v>
      </c>
      <c r="C37" s="3">
        <v>2</v>
      </c>
      <c r="D37" s="3">
        <f t="shared" si="2"/>
        <v>50</v>
      </c>
      <c r="E37" s="3">
        <f t="shared" si="3"/>
        <v>4816</v>
      </c>
      <c r="F37" s="3">
        <v>-180</v>
      </c>
      <c r="G37" s="3">
        <v>120</v>
      </c>
      <c r="H37" s="3">
        <f t="shared" si="0"/>
        <v>-60</v>
      </c>
      <c r="I37" s="3">
        <f t="shared" si="4"/>
        <v>625</v>
      </c>
      <c r="J37" s="3">
        <v>-40</v>
      </c>
      <c r="K37" s="3">
        <v>0</v>
      </c>
      <c r="L37" s="14">
        <f t="shared" si="1"/>
        <v>-40</v>
      </c>
      <c r="N37" s="32">
        <f>E37+I37</f>
        <v>5441</v>
      </c>
    </row>
    <row r="38" spans="1:14" ht="15" customHeight="1" x14ac:dyDescent="0.35">
      <c r="A38" s="2">
        <v>25</v>
      </c>
      <c r="B38" s="3">
        <v>1</v>
      </c>
      <c r="C38" s="3">
        <v>0</v>
      </c>
      <c r="D38" s="3">
        <f t="shared" si="2"/>
        <v>51</v>
      </c>
      <c r="E38" s="3">
        <f t="shared" si="3"/>
        <v>4794</v>
      </c>
      <c r="F38" s="3">
        <v>-62</v>
      </c>
      <c r="G38" s="3">
        <v>40</v>
      </c>
      <c r="H38" s="3">
        <f t="shared" si="0"/>
        <v>-22</v>
      </c>
      <c r="I38" s="3">
        <f t="shared" si="4"/>
        <v>625</v>
      </c>
      <c r="J38" s="3">
        <v>0</v>
      </c>
      <c r="K38" s="3">
        <v>0</v>
      </c>
      <c r="L38" s="14">
        <f t="shared" si="1"/>
        <v>0</v>
      </c>
      <c r="N38" s="32">
        <f>E38+I38</f>
        <v>5419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2"/>
        <v>50</v>
      </c>
      <c r="E39" s="3">
        <f t="shared" si="3"/>
        <v>4724</v>
      </c>
      <c r="F39" s="3">
        <v>-70</v>
      </c>
      <c r="G39" s="3">
        <v>0</v>
      </c>
      <c r="H39" s="3">
        <f t="shared" si="0"/>
        <v>-70</v>
      </c>
      <c r="I39" s="3">
        <f t="shared" si="4"/>
        <v>585</v>
      </c>
      <c r="J39" s="3">
        <v>-40</v>
      </c>
      <c r="K39" s="3">
        <v>0</v>
      </c>
      <c r="L39" s="14">
        <f t="shared" si="1"/>
        <v>-40</v>
      </c>
      <c r="N39" s="32">
        <f t="shared" si="5"/>
        <v>5309</v>
      </c>
    </row>
    <row r="40" spans="1:14" ht="15" customHeight="1" x14ac:dyDescent="0.35">
      <c r="A40" s="2">
        <v>27</v>
      </c>
      <c r="B40" s="3">
        <v>1</v>
      </c>
      <c r="C40" s="3">
        <v>0</v>
      </c>
      <c r="D40" s="3">
        <f t="shared" si="2"/>
        <v>51</v>
      </c>
      <c r="E40" s="3">
        <f t="shared" si="3"/>
        <v>4874</v>
      </c>
      <c r="F40" s="3">
        <v>120</v>
      </c>
      <c r="G40" s="3">
        <v>30</v>
      </c>
      <c r="H40" s="3">
        <f t="shared" si="0"/>
        <v>150</v>
      </c>
      <c r="I40" s="3">
        <f t="shared" si="4"/>
        <v>585</v>
      </c>
      <c r="J40" s="3">
        <v>0</v>
      </c>
      <c r="K40" s="3">
        <v>0</v>
      </c>
      <c r="L40" s="14">
        <f t="shared" si="1"/>
        <v>0</v>
      </c>
      <c r="N40" s="32">
        <f t="shared" si="5"/>
        <v>5459</v>
      </c>
    </row>
    <row r="41" spans="1:14" ht="15" customHeight="1" x14ac:dyDescent="0.35">
      <c r="A41" s="2">
        <v>28</v>
      </c>
      <c r="B41" s="3">
        <v>0</v>
      </c>
      <c r="C41" s="3">
        <v>0</v>
      </c>
      <c r="D41" s="3">
        <f t="shared" ref="D41:D46" si="6">D40+B41-C41</f>
        <v>51</v>
      </c>
      <c r="E41" s="3">
        <f t="shared" ref="E41:E46" si="7">E40+F41+G41</f>
        <v>4874</v>
      </c>
      <c r="F41" s="3">
        <f>40-40</f>
        <v>0</v>
      </c>
      <c r="G41" s="3">
        <v>0</v>
      </c>
      <c r="H41" s="3">
        <f t="shared" ref="H41:H46" si="8">SUM(F41:G41)</f>
        <v>0</v>
      </c>
      <c r="I41" s="3">
        <f t="shared" ref="I41:I46" si="9">I40+J41+K41</f>
        <v>565</v>
      </c>
      <c r="J41" s="3">
        <f>-20</f>
        <v>-20</v>
      </c>
      <c r="K41" s="3">
        <v>0</v>
      </c>
      <c r="L41" s="14">
        <f t="shared" ref="L41:L46" si="10">SUM(J41:K41)</f>
        <v>-20</v>
      </c>
      <c r="N41" s="32">
        <f t="shared" ref="N41:N47" si="11">E41+I41</f>
        <v>5439</v>
      </c>
    </row>
    <row r="42" spans="1:14" ht="15" customHeight="1" x14ac:dyDescent="0.35">
      <c r="A42" s="2">
        <v>29</v>
      </c>
      <c r="B42" s="3">
        <v>2</v>
      </c>
      <c r="C42" s="3">
        <v>1</v>
      </c>
      <c r="D42" s="3">
        <f t="shared" si="6"/>
        <v>52</v>
      </c>
      <c r="E42" s="3">
        <f t="shared" si="7"/>
        <v>4945</v>
      </c>
      <c r="F42" s="3">
        <f>-40+11-40+30-10-40</f>
        <v>-89</v>
      </c>
      <c r="G42" s="3">
        <f>120+40</f>
        <v>160</v>
      </c>
      <c r="H42" s="3">
        <f t="shared" si="8"/>
        <v>71</v>
      </c>
      <c r="I42" s="3">
        <f t="shared" si="9"/>
        <v>565</v>
      </c>
      <c r="J42" s="3">
        <v>0</v>
      </c>
      <c r="K42" s="3">
        <v>0</v>
      </c>
      <c r="L42" s="14">
        <f t="shared" si="10"/>
        <v>0</v>
      </c>
      <c r="N42" s="32">
        <f t="shared" si="11"/>
        <v>5510</v>
      </c>
    </row>
    <row r="43" spans="1:14" ht="15" customHeight="1" x14ac:dyDescent="0.35">
      <c r="A43" s="2">
        <v>30</v>
      </c>
      <c r="B43" s="3">
        <v>0</v>
      </c>
      <c r="C43" s="3">
        <v>1</v>
      </c>
      <c r="D43" s="3">
        <f t="shared" si="6"/>
        <v>51</v>
      </c>
      <c r="E43" s="3">
        <f t="shared" si="7"/>
        <v>4905</v>
      </c>
      <c r="F43" s="3">
        <v>-40</v>
      </c>
      <c r="G43" s="3">
        <v>0</v>
      </c>
      <c r="H43" s="3">
        <f t="shared" si="8"/>
        <v>-40</v>
      </c>
      <c r="I43" s="3">
        <f t="shared" si="9"/>
        <v>565</v>
      </c>
      <c r="J43" s="3">
        <v>0</v>
      </c>
      <c r="K43" s="3">
        <v>0</v>
      </c>
      <c r="L43" s="14">
        <f t="shared" si="10"/>
        <v>0</v>
      </c>
      <c r="N43" s="32">
        <f t="shared" si="11"/>
        <v>5470</v>
      </c>
    </row>
    <row r="44" spans="1:14" ht="15" customHeight="1" x14ac:dyDescent="0.35">
      <c r="A44" s="2">
        <v>31</v>
      </c>
      <c r="B44" s="3">
        <v>2</v>
      </c>
      <c r="C44" s="3">
        <v>0</v>
      </c>
      <c r="D44" s="3">
        <f t="shared" si="6"/>
        <v>53</v>
      </c>
      <c r="E44" s="3">
        <f t="shared" si="7"/>
        <v>4985</v>
      </c>
      <c r="F44" s="3">
        <f>-40-80+40</f>
        <v>-80</v>
      </c>
      <c r="G44" s="3">
        <f>80+80</f>
        <v>160</v>
      </c>
      <c r="H44" s="3">
        <f t="shared" si="8"/>
        <v>80</v>
      </c>
      <c r="I44" s="3">
        <f t="shared" si="9"/>
        <v>580</v>
      </c>
      <c r="J44" s="3">
        <f>35-20</f>
        <v>15</v>
      </c>
      <c r="K44" s="3">
        <v>0</v>
      </c>
      <c r="L44" s="14">
        <f t="shared" si="10"/>
        <v>15</v>
      </c>
      <c r="N44" s="32">
        <f t="shared" si="11"/>
        <v>5565</v>
      </c>
    </row>
    <row r="45" spans="1:14" ht="15" customHeight="1" x14ac:dyDescent="0.35">
      <c r="A45" s="2" t="s">
        <v>39</v>
      </c>
      <c r="B45" s="3">
        <v>0</v>
      </c>
      <c r="C45" s="3">
        <v>1</v>
      </c>
      <c r="D45" s="3">
        <f t="shared" si="6"/>
        <v>52</v>
      </c>
      <c r="E45" s="3">
        <f t="shared" si="7"/>
        <v>4660</v>
      </c>
      <c r="F45" s="3">
        <f>-110-30-40-40-45-40-20</f>
        <v>-325</v>
      </c>
      <c r="G45" s="3">
        <v>0</v>
      </c>
      <c r="H45" s="3">
        <f t="shared" si="8"/>
        <v>-325</v>
      </c>
      <c r="I45" s="3">
        <f t="shared" si="9"/>
        <v>450</v>
      </c>
      <c r="J45" s="3">
        <f>-80-50</f>
        <v>-130</v>
      </c>
      <c r="K45" s="3">
        <v>0</v>
      </c>
      <c r="L45" s="14">
        <f t="shared" si="10"/>
        <v>-130</v>
      </c>
      <c r="N45" s="32">
        <f t="shared" si="11"/>
        <v>5110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6"/>
        <v>51</v>
      </c>
      <c r="E46" s="3">
        <f t="shared" si="7"/>
        <v>4470</v>
      </c>
      <c r="F46" s="3">
        <f>-60+10-80-20-20-20</f>
        <v>-190</v>
      </c>
      <c r="G46" s="3">
        <v>0</v>
      </c>
      <c r="H46" s="3">
        <f t="shared" si="8"/>
        <v>-190</v>
      </c>
      <c r="I46" s="3">
        <f t="shared" si="9"/>
        <v>390</v>
      </c>
      <c r="J46" s="3">
        <f>-80+20</f>
        <v>-60</v>
      </c>
      <c r="K46" s="3">
        <v>0</v>
      </c>
      <c r="L46" s="14">
        <f t="shared" si="10"/>
        <v>-60</v>
      </c>
      <c r="N46" s="32">
        <f t="shared" si="11"/>
        <v>4860</v>
      </c>
    </row>
    <row r="47" spans="1:14" ht="15" customHeight="1" x14ac:dyDescent="0.35">
      <c r="A47" s="2">
        <v>4</v>
      </c>
      <c r="B47" s="3">
        <v>0</v>
      </c>
      <c r="C47" s="3">
        <v>1</v>
      </c>
      <c r="D47" s="3">
        <f t="shared" ref="D47" si="12">D46+B47-C47</f>
        <v>50</v>
      </c>
      <c r="E47" s="3">
        <f>E46+F47+G47</f>
        <v>4370</v>
      </c>
      <c r="F47" s="3">
        <f>-30+10-100+20</f>
        <v>-100</v>
      </c>
      <c r="G47" s="3">
        <v>0</v>
      </c>
      <c r="H47" s="3">
        <f t="shared" ref="H47" si="13">SUM(F47:G47)</f>
        <v>-100</v>
      </c>
      <c r="I47" s="3">
        <f t="shared" ref="I47" si="14">I46+J47+K47</f>
        <v>330</v>
      </c>
      <c r="J47" s="3">
        <f>-60</f>
        <v>-60</v>
      </c>
      <c r="K47" s="3">
        <v>0</v>
      </c>
      <c r="L47" s="14">
        <f t="shared" ref="L47" si="15">SUM(J47:K47)</f>
        <v>-60</v>
      </c>
      <c r="N47" s="32">
        <f t="shared" si="11"/>
        <v>4700</v>
      </c>
    </row>
    <row r="48" spans="1:14" ht="15" customHeight="1" x14ac:dyDescent="0.35">
      <c r="A48" s="2">
        <v>5</v>
      </c>
      <c r="B48" s="3">
        <v>0</v>
      </c>
      <c r="C48" s="3">
        <v>2</v>
      </c>
      <c r="D48" s="3">
        <f t="shared" ref="D48" si="16">D47+B48-C48</f>
        <v>48</v>
      </c>
      <c r="E48" s="3">
        <f t="shared" ref="E48" si="17">E47+F48+G48</f>
        <v>4180</v>
      </c>
      <c r="F48" s="3">
        <f>-40+20-40-10-20-80-60+40</f>
        <v>-190</v>
      </c>
      <c r="G48" s="3">
        <v>0</v>
      </c>
      <c r="H48" s="3">
        <f t="shared" ref="H48" si="18">SUM(F48:G48)</f>
        <v>-190</v>
      </c>
      <c r="I48" s="3">
        <f t="shared" ref="I48" si="19">I47+J48+K48</f>
        <v>330</v>
      </c>
      <c r="J48" s="3">
        <v>0</v>
      </c>
      <c r="K48" s="3">
        <v>0</v>
      </c>
      <c r="L48" s="14">
        <f t="shared" ref="L48" si="20">SUM(J48:K48)</f>
        <v>0</v>
      </c>
      <c r="N48" s="32">
        <f t="shared" ref="N48:N49" si="21">E48+I48</f>
        <v>4510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>D48+B49-C49</f>
        <v>48</v>
      </c>
      <c r="E49" s="3">
        <f>E48+F49+G49</f>
        <v>4085</v>
      </c>
      <c r="F49" s="3">
        <f>40-10-50-35-40</f>
        <v>-95</v>
      </c>
      <c r="G49" s="3">
        <v>0</v>
      </c>
      <c r="H49" s="3">
        <f>SUM(F49:G49)</f>
        <v>-95</v>
      </c>
      <c r="I49" s="3">
        <f>I48+J49+K49</f>
        <v>330</v>
      </c>
      <c r="J49" s="3">
        <v>0</v>
      </c>
      <c r="K49" s="3">
        <v>0</v>
      </c>
      <c r="L49" s="14">
        <f t="shared" ref="L49" si="22">SUM(J49:K49)</f>
        <v>0</v>
      </c>
      <c r="N49" s="32">
        <f t="shared" si="21"/>
        <v>4415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>D49+B50-C50</f>
        <v>47</v>
      </c>
      <c r="E50" s="6">
        <f>E49+F50+G50</f>
        <v>4045</v>
      </c>
      <c r="F50" s="6">
        <f>-80+20+20</f>
        <v>-40</v>
      </c>
      <c r="G50" s="6">
        <v>0</v>
      </c>
      <c r="H50" s="6">
        <f>SUM(F50:G50)</f>
        <v>-40</v>
      </c>
      <c r="I50" s="6">
        <f>I49+J50+K50</f>
        <v>250</v>
      </c>
      <c r="J50" s="6">
        <f>-80</f>
        <v>-80</v>
      </c>
      <c r="K50" s="6">
        <v>0</v>
      </c>
      <c r="L50" s="15">
        <f t="shared" ref="L50" si="23">SUM(J50:K50)</f>
        <v>-80</v>
      </c>
      <c r="N50" s="32">
        <f t="shared" ref="N50" si="24">E50+I50</f>
        <v>4295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51:E51"/>
    <mergeCell ref="G51:L51"/>
    <mergeCell ref="B4:D4"/>
    <mergeCell ref="A1:L1"/>
    <mergeCell ref="H3:L3"/>
    <mergeCell ref="E4:L4"/>
    <mergeCell ref="F5:H5"/>
    <mergeCell ref="J5:L5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9"/>
  <sheetViews>
    <sheetView tabSelected="1"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10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2+2</f>
        <v>4</v>
      </c>
      <c r="C7" s="9">
        <v>0</v>
      </c>
      <c r="D7" s="9">
        <f>B7-C7</f>
        <v>4</v>
      </c>
      <c r="E7" s="9">
        <f>SUM(F7:G7)</f>
        <v>150</v>
      </c>
      <c r="F7" s="9">
        <f>100+50</f>
        <v>150</v>
      </c>
      <c r="G7" s="9">
        <v>0</v>
      </c>
      <c r="H7" s="9">
        <f>SUM(F7:G7)</f>
        <v>150</v>
      </c>
      <c r="I7" s="9">
        <f>SUM(J7:K7)</f>
        <v>550</v>
      </c>
      <c r="J7" s="9">
        <f>150</f>
        <v>150</v>
      </c>
      <c r="K7" s="9">
        <f>150+250</f>
        <v>400</v>
      </c>
      <c r="L7" s="13">
        <f>SUM(J7:K7)</f>
        <v>550</v>
      </c>
    </row>
    <row r="8" spans="1:12" ht="15" customHeight="1" x14ac:dyDescent="0.35">
      <c r="A8" s="27" t="s">
        <v>16</v>
      </c>
      <c r="B8" s="3">
        <f>1+3</f>
        <v>4</v>
      </c>
      <c r="C8" s="3">
        <v>0</v>
      </c>
      <c r="D8" s="3">
        <f t="shared" ref="D8:D41" si="0">D7+B8-C8</f>
        <v>8</v>
      </c>
      <c r="E8" s="3">
        <f>E7+F8+G8</f>
        <v>810</v>
      </c>
      <c r="F8" s="3">
        <f>50+50+70+350</f>
        <v>520</v>
      </c>
      <c r="G8" s="3">
        <f>50+90</f>
        <v>140</v>
      </c>
      <c r="H8" s="3">
        <f t="shared" ref="H8:H40" si="1">SUM(F8:G8)</f>
        <v>660</v>
      </c>
      <c r="I8" s="3">
        <f>I7+J8+K8</f>
        <v>810</v>
      </c>
      <c r="J8" s="3">
        <f>100-20</f>
        <v>80</v>
      </c>
      <c r="K8" s="3">
        <v>180</v>
      </c>
      <c r="L8" s="14">
        <f t="shared" ref="L8:L41" si="2">SUM(J8:K8)</f>
        <v>260</v>
      </c>
    </row>
    <row r="9" spans="1:12" ht="15" customHeight="1" x14ac:dyDescent="0.35">
      <c r="A9" s="27" t="s">
        <v>17</v>
      </c>
      <c r="B9" s="3">
        <f>8+3+3+1</f>
        <v>15</v>
      </c>
      <c r="C9" s="3">
        <f>1+1</f>
        <v>2</v>
      </c>
      <c r="D9" s="3">
        <f t="shared" si="0"/>
        <v>21</v>
      </c>
      <c r="E9" s="3">
        <f t="shared" ref="E9:E41" si="3">E8+F9+G9</f>
        <v>3107</v>
      </c>
      <c r="F9" s="3">
        <f>250+320+630+232-50</f>
        <v>1382</v>
      </c>
      <c r="G9" s="3">
        <f>610+80+95+130</f>
        <v>915</v>
      </c>
      <c r="H9" s="3">
        <f t="shared" si="1"/>
        <v>2297</v>
      </c>
      <c r="I9" s="3">
        <f t="shared" ref="I9:I40" si="4">I8+J9+K9</f>
        <v>1654</v>
      </c>
      <c r="J9" s="3">
        <f>120+90+220+34-60</f>
        <v>404</v>
      </c>
      <c r="K9" s="3">
        <f>310+80+50</f>
        <v>440</v>
      </c>
      <c r="L9" s="14">
        <f t="shared" si="2"/>
        <v>844</v>
      </c>
    </row>
    <row r="10" spans="1:12" ht="15" customHeight="1" x14ac:dyDescent="0.35">
      <c r="A10" s="2" t="s">
        <v>18</v>
      </c>
      <c r="B10" s="3">
        <f>2+1+1+1+1</f>
        <v>6</v>
      </c>
      <c r="C10" s="3">
        <v>1</v>
      </c>
      <c r="D10" s="3">
        <f t="shared" si="0"/>
        <v>26</v>
      </c>
      <c r="E10" s="3">
        <f t="shared" si="3"/>
        <v>4111</v>
      </c>
      <c r="F10" s="3">
        <f>90+94-80+370+210</f>
        <v>684</v>
      </c>
      <c r="G10" s="3">
        <f>40+180+100</f>
        <v>320</v>
      </c>
      <c r="H10" s="3">
        <f t="shared" si="1"/>
        <v>1004</v>
      </c>
      <c r="I10" s="3">
        <f t="shared" si="4"/>
        <v>2035</v>
      </c>
      <c r="J10" s="3">
        <f>36-40+180+25</f>
        <v>201</v>
      </c>
      <c r="K10" s="3">
        <f>130+50</f>
        <v>180</v>
      </c>
      <c r="L10" s="14">
        <f t="shared" si="2"/>
        <v>381</v>
      </c>
    </row>
    <row r="11" spans="1:12" ht="15" customHeight="1" x14ac:dyDescent="0.35">
      <c r="A11" s="2" t="s">
        <v>19</v>
      </c>
      <c r="B11" s="3">
        <f>1+2</f>
        <v>3</v>
      </c>
      <c r="C11" s="3">
        <v>3</v>
      </c>
      <c r="D11" s="3">
        <f t="shared" si="0"/>
        <v>26</v>
      </c>
      <c r="E11" s="3">
        <f t="shared" si="3"/>
        <v>4663</v>
      </c>
      <c r="F11" s="3">
        <f>-290+200+462</f>
        <v>372</v>
      </c>
      <c r="G11" s="3">
        <f>80+100</f>
        <v>180</v>
      </c>
      <c r="H11" s="3">
        <f t="shared" si="1"/>
        <v>552</v>
      </c>
      <c r="I11" s="3">
        <f t="shared" si="4"/>
        <v>1860</v>
      </c>
      <c r="J11" s="3">
        <f>-230-125+50+90</f>
        <v>-215</v>
      </c>
      <c r="K11" s="3">
        <v>40</v>
      </c>
      <c r="L11" s="14">
        <f t="shared" si="2"/>
        <v>-175</v>
      </c>
    </row>
    <row r="12" spans="1:12" ht="15" customHeight="1" x14ac:dyDescent="0.35">
      <c r="A12" s="2" t="s">
        <v>23</v>
      </c>
      <c r="B12" s="3">
        <v>0</v>
      </c>
      <c r="C12" s="3">
        <v>1</v>
      </c>
      <c r="D12" s="3">
        <f t="shared" si="0"/>
        <v>25</v>
      </c>
      <c r="E12" s="3">
        <f t="shared" si="3"/>
        <v>4909</v>
      </c>
      <c r="F12" s="3">
        <f>30+8+158+50</f>
        <v>246</v>
      </c>
      <c r="G12" s="3">
        <v>0</v>
      </c>
      <c r="H12" s="3">
        <f t="shared" si="1"/>
        <v>246</v>
      </c>
      <c r="I12" s="3">
        <f t="shared" si="4"/>
        <v>1624</v>
      </c>
      <c r="J12" s="3">
        <f>-116-120</f>
        <v>-236</v>
      </c>
      <c r="K12" s="3">
        <v>0</v>
      </c>
      <c r="L12" s="14">
        <f t="shared" si="2"/>
        <v>-236</v>
      </c>
    </row>
    <row r="13" spans="1:12" ht="15" customHeight="1" x14ac:dyDescent="0.35">
      <c r="A13" s="2">
        <v>63</v>
      </c>
      <c r="B13" s="3">
        <v>1</v>
      </c>
      <c r="C13" s="3">
        <v>0</v>
      </c>
      <c r="D13" s="3">
        <f t="shared" si="0"/>
        <v>26</v>
      </c>
      <c r="E13" s="3">
        <f t="shared" si="3"/>
        <v>5059</v>
      </c>
      <c r="F13" s="3">
        <v>0</v>
      </c>
      <c r="G13" s="3">
        <v>150</v>
      </c>
      <c r="H13" s="3">
        <f t="shared" si="1"/>
        <v>150</v>
      </c>
      <c r="I13" s="3">
        <f t="shared" si="4"/>
        <v>1524</v>
      </c>
      <c r="J13" s="3">
        <v>-100</v>
      </c>
      <c r="K13" s="3">
        <v>0</v>
      </c>
      <c r="L13" s="14">
        <f t="shared" si="2"/>
        <v>-100</v>
      </c>
    </row>
    <row r="14" spans="1:12" ht="15" customHeight="1" x14ac:dyDescent="0.35">
      <c r="A14" s="2" t="s">
        <v>38</v>
      </c>
      <c r="B14" s="3">
        <v>1</v>
      </c>
      <c r="C14" s="3">
        <v>0</v>
      </c>
      <c r="D14" s="3">
        <f t="shared" si="0"/>
        <v>27</v>
      </c>
      <c r="E14" s="3">
        <f t="shared" si="3"/>
        <v>5234</v>
      </c>
      <c r="F14" s="3">
        <v>125</v>
      </c>
      <c r="G14" s="3">
        <v>50</v>
      </c>
      <c r="H14" s="3">
        <f t="shared" si="1"/>
        <v>175</v>
      </c>
      <c r="I14" s="3">
        <f t="shared" si="4"/>
        <v>1524</v>
      </c>
      <c r="J14" s="3">
        <v>0</v>
      </c>
      <c r="K14" s="3">
        <v>0</v>
      </c>
      <c r="L14" s="14">
        <f t="shared" si="2"/>
        <v>0</v>
      </c>
    </row>
    <row r="15" spans="1:12" ht="15" customHeight="1" x14ac:dyDescent="0.35">
      <c r="A15" s="2">
        <v>2</v>
      </c>
      <c r="B15" s="3">
        <v>1</v>
      </c>
      <c r="C15" s="3">
        <v>0</v>
      </c>
      <c r="D15" s="3">
        <f t="shared" si="0"/>
        <v>28</v>
      </c>
      <c r="E15" s="3">
        <f t="shared" si="3"/>
        <v>5274</v>
      </c>
      <c r="F15" s="3">
        <v>40</v>
      </c>
      <c r="G15" s="3">
        <v>0</v>
      </c>
      <c r="H15" s="3">
        <f t="shared" si="1"/>
        <v>40</v>
      </c>
      <c r="I15" s="3">
        <f t="shared" si="4"/>
        <v>1424</v>
      </c>
      <c r="J15" s="3">
        <v>-100</v>
      </c>
      <c r="K15" s="3">
        <v>0</v>
      </c>
      <c r="L15" s="14">
        <f t="shared" si="2"/>
        <v>-100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0"/>
        <v>28</v>
      </c>
      <c r="E16" s="3">
        <f t="shared" si="3"/>
        <v>5254</v>
      </c>
      <c r="F16" s="3">
        <v>-20</v>
      </c>
      <c r="G16" s="3">
        <v>0</v>
      </c>
      <c r="H16" s="3">
        <f t="shared" si="1"/>
        <v>-20</v>
      </c>
      <c r="I16" s="3">
        <f t="shared" si="4"/>
        <v>1424</v>
      </c>
      <c r="J16" s="3">
        <v>0</v>
      </c>
      <c r="K16" s="3">
        <v>0</v>
      </c>
      <c r="L16" s="14">
        <f t="shared" si="2"/>
        <v>0</v>
      </c>
    </row>
    <row r="17" spans="1:14" ht="15" customHeight="1" x14ac:dyDescent="0.35">
      <c r="A17" s="2">
        <v>4</v>
      </c>
      <c r="B17" s="3">
        <v>0</v>
      </c>
      <c r="C17" s="3">
        <v>1</v>
      </c>
      <c r="D17" s="3">
        <f t="shared" si="0"/>
        <v>27</v>
      </c>
      <c r="E17" s="3">
        <f t="shared" si="3"/>
        <v>5067</v>
      </c>
      <c r="F17" s="3">
        <v>-187</v>
      </c>
      <c r="G17" s="3">
        <v>0</v>
      </c>
      <c r="H17" s="3">
        <f t="shared" si="1"/>
        <v>-187</v>
      </c>
      <c r="I17" s="3">
        <f t="shared" si="4"/>
        <v>1304</v>
      </c>
      <c r="J17" s="3">
        <v>-120</v>
      </c>
      <c r="K17" s="3">
        <v>0</v>
      </c>
      <c r="L17" s="14">
        <f t="shared" si="2"/>
        <v>-120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27</v>
      </c>
      <c r="E18" s="3">
        <f t="shared" si="3"/>
        <v>4967</v>
      </c>
      <c r="F18" s="3">
        <v>-100</v>
      </c>
      <c r="G18" s="3">
        <v>0</v>
      </c>
      <c r="H18" s="3">
        <f t="shared" si="1"/>
        <v>-100</v>
      </c>
      <c r="I18" s="3">
        <f t="shared" si="4"/>
        <v>1304</v>
      </c>
      <c r="J18" s="3">
        <v>0</v>
      </c>
      <c r="K18" s="3">
        <v>0</v>
      </c>
      <c r="L18" s="14">
        <f t="shared" si="2"/>
        <v>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0"/>
        <v>26</v>
      </c>
      <c r="E19" s="3">
        <f t="shared" si="3"/>
        <v>4942</v>
      </c>
      <c r="F19" s="3">
        <v>-25</v>
      </c>
      <c r="G19" s="3">
        <v>0</v>
      </c>
      <c r="H19" s="3">
        <f t="shared" si="1"/>
        <v>-25</v>
      </c>
      <c r="I19" s="3">
        <f t="shared" si="4"/>
        <v>1304</v>
      </c>
      <c r="J19" s="3">
        <v>0</v>
      </c>
      <c r="K19" s="3">
        <v>0</v>
      </c>
      <c r="L19" s="14">
        <f t="shared" si="2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0"/>
        <v>26</v>
      </c>
      <c r="E20" s="3">
        <f t="shared" si="3"/>
        <v>4972</v>
      </c>
      <c r="F20" s="3">
        <v>30</v>
      </c>
      <c r="G20" s="3">
        <v>0</v>
      </c>
      <c r="H20" s="3">
        <f t="shared" si="1"/>
        <v>30</v>
      </c>
      <c r="I20" s="3">
        <f t="shared" si="4"/>
        <v>1204</v>
      </c>
      <c r="J20" s="3">
        <v>-100</v>
      </c>
      <c r="K20" s="3">
        <v>0</v>
      </c>
      <c r="L20" s="14">
        <f t="shared" si="2"/>
        <v>-100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26</v>
      </c>
      <c r="E21" s="3">
        <f t="shared" si="3"/>
        <v>5132</v>
      </c>
      <c r="F21" s="3">
        <v>160</v>
      </c>
      <c r="G21" s="3">
        <v>0</v>
      </c>
      <c r="H21" s="3">
        <f t="shared" si="1"/>
        <v>160</v>
      </c>
      <c r="I21" s="3">
        <f t="shared" si="4"/>
        <v>1204</v>
      </c>
      <c r="J21" s="3">
        <v>0</v>
      </c>
      <c r="K21" s="3">
        <v>0</v>
      </c>
      <c r="L21" s="14">
        <f t="shared" si="2"/>
        <v>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0"/>
        <v>26</v>
      </c>
      <c r="E22" s="3">
        <f t="shared" si="3"/>
        <v>5012</v>
      </c>
      <c r="F22" s="3">
        <v>-120</v>
      </c>
      <c r="G22" s="3">
        <v>0</v>
      </c>
      <c r="H22" s="3">
        <f t="shared" si="1"/>
        <v>-120</v>
      </c>
      <c r="I22" s="3">
        <f t="shared" si="4"/>
        <v>1204</v>
      </c>
      <c r="J22" s="3">
        <v>0</v>
      </c>
      <c r="K22" s="3">
        <v>0</v>
      </c>
      <c r="L22" s="14">
        <f t="shared" si="2"/>
        <v>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0"/>
        <v>26</v>
      </c>
      <c r="E23" s="3">
        <f t="shared" si="3"/>
        <v>5122</v>
      </c>
      <c r="F23" s="3">
        <v>110</v>
      </c>
      <c r="G23" s="3">
        <v>0</v>
      </c>
      <c r="H23" s="3">
        <f t="shared" si="1"/>
        <v>110</v>
      </c>
      <c r="I23" s="3">
        <f t="shared" si="4"/>
        <v>1204</v>
      </c>
      <c r="J23" s="3">
        <v>0</v>
      </c>
      <c r="K23" s="3">
        <v>0</v>
      </c>
      <c r="L23" s="14">
        <f t="shared" si="2"/>
        <v>0</v>
      </c>
    </row>
    <row r="24" spans="1:14" ht="15" customHeight="1" x14ac:dyDescent="0.35">
      <c r="A24" s="2">
        <v>11</v>
      </c>
      <c r="B24" s="3">
        <v>0</v>
      </c>
      <c r="C24" s="3">
        <v>0</v>
      </c>
      <c r="D24" s="3">
        <f t="shared" si="0"/>
        <v>26</v>
      </c>
      <c r="E24" s="3">
        <f t="shared" si="3"/>
        <v>5122</v>
      </c>
      <c r="F24" s="3">
        <v>0</v>
      </c>
      <c r="G24" s="3">
        <v>0</v>
      </c>
      <c r="H24" s="3">
        <f t="shared" si="1"/>
        <v>0</v>
      </c>
      <c r="I24" s="3">
        <f t="shared" si="4"/>
        <v>1244</v>
      </c>
      <c r="J24" s="3">
        <v>40</v>
      </c>
      <c r="K24" s="3">
        <v>0</v>
      </c>
      <c r="L24" s="14">
        <f t="shared" si="2"/>
        <v>40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0"/>
        <v>26</v>
      </c>
      <c r="E25" s="3">
        <f t="shared" si="3"/>
        <v>5082</v>
      </c>
      <c r="F25" s="3">
        <v>-40</v>
      </c>
      <c r="G25" s="3">
        <v>0</v>
      </c>
      <c r="H25" s="3">
        <f t="shared" si="1"/>
        <v>-40</v>
      </c>
      <c r="I25" s="3">
        <f t="shared" si="4"/>
        <v>1244</v>
      </c>
      <c r="J25" s="3">
        <v>0</v>
      </c>
      <c r="K25" s="3">
        <v>0</v>
      </c>
      <c r="L25" s="14">
        <f t="shared" si="2"/>
        <v>0</v>
      </c>
    </row>
    <row r="26" spans="1:14" ht="15" customHeight="1" x14ac:dyDescent="0.35">
      <c r="A26" s="2">
        <v>13</v>
      </c>
      <c r="B26" s="3">
        <v>0</v>
      </c>
      <c r="C26" s="3">
        <v>1</v>
      </c>
      <c r="D26" s="3">
        <f t="shared" si="0"/>
        <v>25</v>
      </c>
      <c r="E26" s="3">
        <f t="shared" si="3"/>
        <v>5082</v>
      </c>
      <c r="F26" s="3">
        <v>0</v>
      </c>
      <c r="G26" s="3">
        <v>0</v>
      </c>
      <c r="H26" s="3">
        <f t="shared" si="1"/>
        <v>0</v>
      </c>
      <c r="I26" s="3">
        <f t="shared" si="4"/>
        <v>1204</v>
      </c>
      <c r="J26" s="3">
        <v>-40</v>
      </c>
      <c r="K26" s="3">
        <v>0</v>
      </c>
      <c r="L26" s="14">
        <f t="shared" si="2"/>
        <v>-40</v>
      </c>
    </row>
    <row r="27" spans="1:14" ht="15" customHeight="1" x14ac:dyDescent="0.35">
      <c r="A27" s="2">
        <v>14</v>
      </c>
      <c r="B27" s="3">
        <v>0</v>
      </c>
      <c r="C27" s="3">
        <v>1</v>
      </c>
      <c r="D27" s="3">
        <f t="shared" si="0"/>
        <v>24</v>
      </c>
      <c r="E27" s="3">
        <f t="shared" si="3"/>
        <v>4932</v>
      </c>
      <c r="F27" s="3">
        <v>-150</v>
      </c>
      <c r="G27" s="3">
        <v>0</v>
      </c>
      <c r="H27" s="3">
        <f t="shared" si="1"/>
        <v>-150</v>
      </c>
      <c r="I27" s="3">
        <f t="shared" si="4"/>
        <v>1204</v>
      </c>
      <c r="J27" s="3">
        <v>0</v>
      </c>
      <c r="K27" s="3">
        <v>0</v>
      </c>
      <c r="L27" s="14">
        <f t="shared" si="2"/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0"/>
        <v>24</v>
      </c>
      <c r="E28" s="3">
        <f t="shared" si="3"/>
        <v>5012</v>
      </c>
      <c r="F28" s="3">
        <v>80</v>
      </c>
      <c r="G28" s="3">
        <v>0</v>
      </c>
      <c r="H28" s="3">
        <f t="shared" si="1"/>
        <v>80</v>
      </c>
      <c r="I28" s="3">
        <f t="shared" si="4"/>
        <v>1254</v>
      </c>
      <c r="J28" s="3">
        <v>50</v>
      </c>
      <c r="K28" s="3">
        <v>0</v>
      </c>
      <c r="L28" s="14">
        <f t="shared" si="2"/>
        <v>50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0"/>
        <v>24</v>
      </c>
      <c r="E29" s="3">
        <f t="shared" si="3"/>
        <v>5092</v>
      </c>
      <c r="F29" s="3">
        <v>80</v>
      </c>
      <c r="G29" s="3">
        <v>0</v>
      </c>
      <c r="H29" s="3">
        <f t="shared" si="1"/>
        <v>80</v>
      </c>
      <c r="I29" s="3">
        <f t="shared" si="4"/>
        <v>1354</v>
      </c>
      <c r="J29" s="3">
        <v>100</v>
      </c>
      <c r="K29" s="3">
        <v>0</v>
      </c>
      <c r="L29" s="14">
        <f t="shared" si="2"/>
        <v>100</v>
      </c>
    </row>
    <row r="30" spans="1:14" ht="15" customHeight="1" x14ac:dyDescent="0.35">
      <c r="A30" s="2">
        <v>17</v>
      </c>
      <c r="B30" s="3">
        <v>1</v>
      </c>
      <c r="C30" s="3">
        <v>1</v>
      </c>
      <c r="D30" s="3">
        <f t="shared" si="0"/>
        <v>24</v>
      </c>
      <c r="E30" s="3">
        <f t="shared" si="3"/>
        <v>4950</v>
      </c>
      <c r="F30" s="3">
        <v>-150</v>
      </c>
      <c r="G30" s="3">
        <v>8</v>
      </c>
      <c r="H30" s="3">
        <f t="shared" si="1"/>
        <v>-142</v>
      </c>
      <c r="I30" s="3">
        <f t="shared" si="4"/>
        <v>1274</v>
      </c>
      <c r="J30" s="3">
        <v>-80</v>
      </c>
      <c r="K30" s="3">
        <v>0</v>
      </c>
      <c r="L30" s="14">
        <f t="shared" si="2"/>
        <v>-80</v>
      </c>
      <c r="N30" s="32">
        <f t="shared" ref="N30:N42" si="5">E30+I30</f>
        <v>6224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0"/>
        <v>24</v>
      </c>
      <c r="E31" s="3">
        <f t="shared" si="3"/>
        <v>4830</v>
      </c>
      <c r="F31" s="3">
        <v>-120</v>
      </c>
      <c r="G31" s="3">
        <v>0</v>
      </c>
      <c r="H31" s="3">
        <f t="shared" si="1"/>
        <v>-120</v>
      </c>
      <c r="I31" s="3">
        <f t="shared" si="4"/>
        <v>1274</v>
      </c>
      <c r="J31" s="3">
        <v>0</v>
      </c>
      <c r="K31" s="3">
        <v>0</v>
      </c>
      <c r="L31" s="14">
        <f t="shared" si="2"/>
        <v>0</v>
      </c>
      <c r="N31" s="32">
        <f t="shared" si="5"/>
        <v>6104</v>
      </c>
    </row>
    <row r="32" spans="1:14" ht="15" customHeight="1" x14ac:dyDescent="0.35">
      <c r="A32" s="2">
        <v>19</v>
      </c>
      <c r="B32" s="3">
        <v>1</v>
      </c>
      <c r="C32" s="3">
        <v>0</v>
      </c>
      <c r="D32" s="3">
        <f t="shared" si="0"/>
        <v>25</v>
      </c>
      <c r="E32" s="3">
        <f t="shared" si="3"/>
        <v>4814</v>
      </c>
      <c r="F32" s="3">
        <f>-90</f>
        <v>-90</v>
      </c>
      <c r="G32" s="3">
        <v>74</v>
      </c>
      <c r="H32" s="3">
        <f t="shared" si="1"/>
        <v>-16</v>
      </c>
      <c r="I32" s="3">
        <f t="shared" si="4"/>
        <v>1224</v>
      </c>
      <c r="J32" s="3">
        <f>-40-10</f>
        <v>-50</v>
      </c>
      <c r="K32" s="3">
        <v>0</v>
      </c>
      <c r="L32" s="14">
        <f t="shared" si="2"/>
        <v>-50</v>
      </c>
      <c r="N32" s="32">
        <f t="shared" si="5"/>
        <v>6038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0"/>
        <v>25</v>
      </c>
      <c r="E33" s="3">
        <f t="shared" si="3"/>
        <v>4654</v>
      </c>
      <c r="F33" s="3">
        <v>-160</v>
      </c>
      <c r="G33" s="3">
        <v>0</v>
      </c>
      <c r="H33" s="3">
        <f t="shared" si="1"/>
        <v>-160</v>
      </c>
      <c r="I33" s="3">
        <f t="shared" si="4"/>
        <v>1204</v>
      </c>
      <c r="J33" s="3">
        <v>-20</v>
      </c>
      <c r="K33" s="3">
        <v>0</v>
      </c>
      <c r="L33" s="14">
        <f t="shared" si="2"/>
        <v>-20</v>
      </c>
      <c r="N33" s="32">
        <f t="shared" si="5"/>
        <v>5858</v>
      </c>
    </row>
    <row r="34" spans="1:14" ht="15" customHeight="1" x14ac:dyDescent="0.35">
      <c r="A34" s="2">
        <v>21</v>
      </c>
      <c r="B34" s="3">
        <v>0</v>
      </c>
      <c r="C34" s="3">
        <v>0</v>
      </c>
      <c r="D34" s="3">
        <f t="shared" si="0"/>
        <v>25</v>
      </c>
      <c r="E34" s="3">
        <f t="shared" si="3"/>
        <v>4514</v>
      </c>
      <c r="F34" s="3">
        <v>-140</v>
      </c>
      <c r="G34" s="3">
        <v>0</v>
      </c>
      <c r="H34" s="3">
        <f t="shared" si="1"/>
        <v>-140</v>
      </c>
      <c r="I34" s="3">
        <f t="shared" si="4"/>
        <v>1168</v>
      </c>
      <c r="J34" s="3">
        <v>-36</v>
      </c>
      <c r="K34" s="3">
        <v>0</v>
      </c>
      <c r="L34" s="14">
        <f t="shared" si="2"/>
        <v>-36</v>
      </c>
      <c r="N34" s="32">
        <f t="shared" si="5"/>
        <v>5682</v>
      </c>
    </row>
    <row r="35" spans="1:14" ht="15" customHeight="1" x14ac:dyDescent="0.35">
      <c r="A35" s="2">
        <v>22</v>
      </c>
      <c r="B35" s="3">
        <v>1</v>
      </c>
      <c r="C35" s="3">
        <v>0</v>
      </c>
      <c r="D35" s="3">
        <f t="shared" si="0"/>
        <v>26</v>
      </c>
      <c r="E35" s="3">
        <f t="shared" si="3"/>
        <v>4586</v>
      </c>
      <c r="F35" s="3">
        <v>0</v>
      </c>
      <c r="G35" s="3">
        <v>72</v>
      </c>
      <c r="H35" s="3">
        <f t="shared" si="1"/>
        <v>72</v>
      </c>
      <c r="I35" s="3">
        <f t="shared" si="4"/>
        <v>1168</v>
      </c>
      <c r="J35" s="3">
        <v>0</v>
      </c>
      <c r="K35" s="3">
        <v>0</v>
      </c>
      <c r="L35" s="14">
        <f t="shared" si="2"/>
        <v>0</v>
      </c>
      <c r="N35" s="32">
        <f>E35+I35</f>
        <v>5754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0"/>
        <v>26</v>
      </c>
      <c r="E36" s="3">
        <f t="shared" si="3"/>
        <v>4282</v>
      </c>
      <c r="F36" s="3">
        <f>-200+80-164-20</f>
        <v>-304</v>
      </c>
      <c r="G36" s="3">
        <v>0</v>
      </c>
      <c r="H36" s="3">
        <f t="shared" si="1"/>
        <v>-304</v>
      </c>
      <c r="I36" s="3">
        <f t="shared" si="4"/>
        <v>988</v>
      </c>
      <c r="J36" s="3">
        <f>-140-40</f>
        <v>-180</v>
      </c>
      <c r="K36" s="3">
        <v>0</v>
      </c>
      <c r="L36" s="14">
        <f t="shared" si="2"/>
        <v>-180</v>
      </c>
      <c r="N36" s="32">
        <f>E36+I36</f>
        <v>5270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0"/>
        <v>26</v>
      </c>
      <c r="E37" s="3">
        <f t="shared" si="3"/>
        <v>4172</v>
      </c>
      <c r="F37" s="3">
        <f>-80-40-60+30+40</f>
        <v>-110</v>
      </c>
      <c r="G37" s="3">
        <v>0</v>
      </c>
      <c r="H37" s="3">
        <f t="shared" si="1"/>
        <v>-110</v>
      </c>
      <c r="I37" s="3">
        <f t="shared" si="4"/>
        <v>928</v>
      </c>
      <c r="J37" s="3">
        <f>-20-40</f>
        <v>-60</v>
      </c>
      <c r="K37" s="3">
        <v>0</v>
      </c>
      <c r="L37" s="14">
        <f t="shared" si="2"/>
        <v>-60</v>
      </c>
      <c r="N37" s="32">
        <f>E37+I37</f>
        <v>5100</v>
      </c>
    </row>
    <row r="38" spans="1:14" ht="15" customHeight="1" x14ac:dyDescent="0.35">
      <c r="A38" s="2">
        <v>25</v>
      </c>
      <c r="B38" s="3">
        <v>1</v>
      </c>
      <c r="C38" s="3">
        <v>1</v>
      </c>
      <c r="D38" s="3">
        <f t="shared" si="0"/>
        <v>26</v>
      </c>
      <c r="E38" s="3">
        <f t="shared" si="3"/>
        <v>4142</v>
      </c>
      <c r="F38" s="3">
        <f>40-80-30</f>
        <v>-70</v>
      </c>
      <c r="G38" s="3">
        <v>40</v>
      </c>
      <c r="H38" s="3">
        <f t="shared" si="1"/>
        <v>-30</v>
      </c>
      <c r="I38" s="3">
        <f t="shared" si="4"/>
        <v>828</v>
      </c>
      <c r="J38" s="3">
        <f>-80-20</f>
        <v>-100</v>
      </c>
      <c r="K38" s="3">
        <v>0</v>
      </c>
      <c r="L38" s="14">
        <f t="shared" si="2"/>
        <v>-100</v>
      </c>
      <c r="N38" s="32">
        <f>E38+I38</f>
        <v>4970</v>
      </c>
    </row>
    <row r="39" spans="1:14" ht="15" customHeight="1" x14ac:dyDescent="0.35">
      <c r="A39" s="2">
        <v>26</v>
      </c>
      <c r="B39" s="3">
        <v>1</v>
      </c>
      <c r="C39" s="3">
        <v>0</v>
      </c>
      <c r="D39" s="3">
        <f t="shared" si="0"/>
        <v>27</v>
      </c>
      <c r="E39" s="3">
        <f t="shared" si="3"/>
        <v>4202</v>
      </c>
      <c r="F39" s="3">
        <v>-20</v>
      </c>
      <c r="G39" s="3">
        <v>80</v>
      </c>
      <c r="H39" s="3">
        <f t="shared" si="1"/>
        <v>60</v>
      </c>
      <c r="I39" s="3">
        <f t="shared" si="4"/>
        <v>808</v>
      </c>
      <c r="J39" s="3">
        <v>-20</v>
      </c>
      <c r="K39" s="3">
        <v>0</v>
      </c>
      <c r="L39" s="14">
        <f t="shared" si="2"/>
        <v>-20</v>
      </c>
      <c r="N39" s="32">
        <f t="shared" si="5"/>
        <v>5010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0"/>
        <v>27</v>
      </c>
      <c r="E40" s="3">
        <f t="shared" si="3"/>
        <v>4080</v>
      </c>
      <c r="F40" s="3">
        <v>-122</v>
      </c>
      <c r="G40" s="3">
        <v>0</v>
      </c>
      <c r="H40" s="3">
        <f t="shared" si="1"/>
        <v>-122</v>
      </c>
      <c r="I40" s="3">
        <f t="shared" si="4"/>
        <v>808</v>
      </c>
      <c r="J40" s="3">
        <v>0</v>
      </c>
      <c r="K40" s="3">
        <v>0</v>
      </c>
      <c r="L40" s="14">
        <f t="shared" si="2"/>
        <v>0</v>
      </c>
      <c r="N40" s="32">
        <f t="shared" si="5"/>
        <v>4888</v>
      </c>
    </row>
    <row r="41" spans="1:14" ht="15" customHeight="1" x14ac:dyDescent="0.35">
      <c r="A41" s="2">
        <v>28</v>
      </c>
      <c r="B41" s="3">
        <v>2</v>
      </c>
      <c r="C41" s="3">
        <v>0</v>
      </c>
      <c r="D41" s="3">
        <f t="shared" si="0"/>
        <v>29</v>
      </c>
      <c r="E41" s="3">
        <f t="shared" si="3"/>
        <v>4300</v>
      </c>
      <c r="F41" s="3">
        <f>40+40-30-80+80</f>
        <v>50</v>
      </c>
      <c r="G41" s="3">
        <f>80+90</f>
        <v>170</v>
      </c>
      <c r="H41" s="3">
        <f t="shared" ref="H41:H46" si="6">SUM(F41:G41)</f>
        <v>220</v>
      </c>
      <c r="I41" s="3">
        <f t="shared" ref="I41:I46" si="7">I40+J41+K41</f>
        <v>808</v>
      </c>
      <c r="J41" s="3">
        <v>0</v>
      </c>
      <c r="K41" s="3">
        <v>0</v>
      </c>
      <c r="L41" s="14">
        <f t="shared" si="2"/>
        <v>0</v>
      </c>
      <c r="N41" s="32">
        <f t="shared" si="5"/>
        <v>5108</v>
      </c>
    </row>
    <row r="42" spans="1:14" ht="15" customHeight="1" x14ac:dyDescent="0.35">
      <c r="A42" s="2">
        <v>29</v>
      </c>
      <c r="B42" s="3">
        <v>0</v>
      </c>
      <c r="C42" s="3">
        <v>1</v>
      </c>
      <c r="D42" s="3">
        <f t="shared" ref="D42" si="8">D41+B42-C42</f>
        <v>28</v>
      </c>
      <c r="E42" s="3">
        <f t="shared" ref="E42" si="9">E41+F42+G42</f>
        <v>4281</v>
      </c>
      <c r="F42" s="3">
        <f>-45-7-7+40</f>
        <v>-19</v>
      </c>
      <c r="G42" s="3">
        <v>0</v>
      </c>
      <c r="H42" s="3">
        <f t="shared" si="6"/>
        <v>-19</v>
      </c>
      <c r="I42" s="3">
        <f t="shared" si="7"/>
        <v>808</v>
      </c>
      <c r="J42" s="3">
        <v>0</v>
      </c>
      <c r="K42" s="3">
        <v>0</v>
      </c>
      <c r="L42" s="14">
        <f t="shared" ref="L42" si="10">SUM(J42:K42)</f>
        <v>0</v>
      </c>
      <c r="N42" s="32">
        <f t="shared" si="5"/>
        <v>5089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ref="D43" si="11">D42+B43-C43</f>
        <v>28</v>
      </c>
      <c r="E43" s="3">
        <f t="shared" ref="E43" si="12">E42+F43+G43</f>
        <v>4201</v>
      </c>
      <c r="F43" s="3">
        <f>-40-40</f>
        <v>-80</v>
      </c>
      <c r="G43" s="3">
        <v>0</v>
      </c>
      <c r="H43" s="3">
        <f t="shared" si="6"/>
        <v>-80</v>
      </c>
      <c r="I43" s="3">
        <f t="shared" si="7"/>
        <v>588</v>
      </c>
      <c r="J43" s="3">
        <f>-80-40-50-10-40</f>
        <v>-220</v>
      </c>
      <c r="K43" s="3">
        <v>0</v>
      </c>
      <c r="L43" s="14">
        <f t="shared" ref="L43" si="13">SUM(J43:K43)</f>
        <v>-220</v>
      </c>
      <c r="N43" s="32">
        <f t="shared" ref="N43:N44" si="14">E43+I43</f>
        <v>4789</v>
      </c>
    </row>
    <row r="44" spans="1:14" ht="15" customHeight="1" x14ac:dyDescent="0.35">
      <c r="A44" s="2">
        <v>31</v>
      </c>
      <c r="B44" s="3">
        <v>1</v>
      </c>
      <c r="C44" s="3">
        <v>1</v>
      </c>
      <c r="D44" s="3">
        <f t="shared" ref="D44" si="15">D43+B44-C44</f>
        <v>28</v>
      </c>
      <c r="E44" s="3">
        <f t="shared" ref="E44" si="16">E43+F44+G44</f>
        <v>4357</v>
      </c>
      <c r="F44" s="3">
        <f>-80-40+36</f>
        <v>-84</v>
      </c>
      <c r="G44" s="3">
        <f>160+80</f>
        <v>240</v>
      </c>
      <c r="H44" s="3">
        <f t="shared" si="6"/>
        <v>156</v>
      </c>
      <c r="I44" s="3">
        <f t="shared" si="7"/>
        <v>628</v>
      </c>
      <c r="J44" s="3">
        <f>40</f>
        <v>40</v>
      </c>
      <c r="K44" s="3">
        <v>0</v>
      </c>
      <c r="L44" s="14">
        <f t="shared" ref="L44" si="17">SUM(J44:K44)</f>
        <v>40</v>
      </c>
      <c r="N44" s="32">
        <f t="shared" si="14"/>
        <v>4985</v>
      </c>
    </row>
    <row r="45" spans="1:14" ht="15" customHeight="1" x14ac:dyDescent="0.35">
      <c r="A45" s="2" t="s">
        <v>39</v>
      </c>
      <c r="B45" s="3">
        <v>1</v>
      </c>
      <c r="C45" s="3">
        <v>0</v>
      </c>
      <c r="D45" s="3">
        <f t="shared" ref="D45" si="18">D44+B45-C45</f>
        <v>29</v>
      </c>
      <c r="E45" s="3">
        <f t="shared" ref="E45" si="19">E44+F45+G45</f>
        <v>4349</v>
      </c>
      <c r="F45" s="3">
        <f>-40-30+30</f>
        <v>-40</v>
      </c>
      <c r="G45" s="3">
        <f>32</f>
        <v>32</v>
      </c>
      <c r="H45" s="3">
        <f t="shared" si="6"/>
        <v>-8</v>
      </c>
      <c r="I45" s="3">
        <f t="shared" si="7"/>
        <v>668</v>
      </c>
      <c r="J45" s="3">
        <f>40</f>
        <v>40</v>
      </c>
      <c r="K45" s="3">
        <v>0</v>
      </c>
      <c r="L45" s="14">
        <f t="shared" ref="L45" si="20">SUM(J45:K45)</f>
        <v>40</v>
      </c>
      <c r="N45" s="32">
        <f t="shared" ref="N45" si="21">E45+I45</f>
        <v>5017</v>
      </c>
    </row>
    <row r="46" spans="1:14" ht="15" customHeight="1" x14ac:dyDescent="0.35">
      <c r="A46" s="2">
        <v>3</v>
      </c>
      <c r="B46" s="3">
        <v>2</v>
      </c>
      <c r="C46" s="3">
        <v>0</v>
      </c>
      <c r="D46" s="3">
        <f t="shared" ref="D46" si="22">D45+B46-C46</f>
        <v>31</v>
      </c>
      <c r="E46" s="3">
        <f t="shared" ref="E46" si="23">E45+F46+G46</f>
        <v>4353</v>
      </c>
      <c r="F46" s="3">
        <f>-36-40</f>
        <v>-76</v>
      </c>
      <c r="G46" s="3">
        <f>40+40</f>
        <v>80</v>
      </c>
      <c r="H46" s="3">
        <f t="shared" si="6"/>
        <v>4</v>
      </c>
      <c r="I46" s="3">
        <f t="shared" si="7"/>
        <v>668</v>
      </c>
      <c r="J46" s="3">
        <v>0</v>
      </c>
      <c r="K46" s="3">
        <v>0</v>
      </c>
      <c r="L46" s="14">
        <f t="shared" ref="L46" si="24">SUM(J46:K46)</f>
        <v>0</v>
      </c>
      <c r="N46" s="32">
        <f t="shared" ref="N46:N47" si="25">E46+I46</f>
        <v>5021</v>
      </c>
    </row>
    <row r="47" spans="1:14" ht="15" customHeight="1" x14ac:dyDescent="0.35">
      <c r="A47" s="2">
        <v>4</v>
      </c>
      <c r="B47" s="3">
        <v>0</v>
      </c>
      <c r="C47" s="3">
        <v>2</v>
      </c>
      <c r="D47" s="3">
        <f t="shared" ref="D47" si="26">D46+B47-C47</f>
        <v>29</v>
      </c>
      <c r="E47" s="3">
        <f>E46+F47+G47</f>
        <v>4013</v>
      </c>
      <c r="F47" s="3">
        <f>-80-80-40-80-30-30</f>
        <v>-340</v>
      </c>
      <c r="G47" s="3">
        <v>0</v>
      </c>
      <c r="H47" s="3">
        <f t="shared" ref="H47" si="27">SUM(F47:G47)</f>
        <v>-340</v>
      </c>
      <c r="I47" s="3">
        <f t="shared" ref="I47" si="28">I46+J47+K47</f>
        <v>668</v>
      </c>
      <c r="J47" s="3">
        <v>0</v>
      </c>
      <c r="K47" s="3">
        <v>0</v>
      </c>
      <c r="L47" s="14">
        <f t="shared" ref="L47" si="29">SUM(J47:K47)</f>
        <v>0</v>
      </c>
      <c r="N47" s="32">
        <f t="shared" si="25"/>
        <v>4681</v>
      </c>
    </row>
    <row r="48" spans="1:14" ht="15" customHeight="1" x14ac:dyDescent="0.35">
      <c r="A48" s="2">
        <v>5</v>
      </c>
      <c r="B48" s="3">
        <v>1</v>
      </c>
      <c r="C48" s="3">
        <v>0</v>
      </c>
      <c r="D48" s="3">
        <f t="shared" ref="D48" si="30">D47+B48-C48</f>
        <v>30</v>
      </c>
      <c r="E48" s="3">
        <f>E47+F48+G48</f>
        <v>3933</v>
      </c>
      <c r="F48" s="3">
        <f>-40+40-80-36+36-40-40</f>
        <v>-160</v>
      </c>
      <c r="G48" s="3">
        <v>80</v>
      </c>
      <c r="H48" s="3">
        <f t="shared" ref="H48:H49" si="31">SUM(F48:G48)</f>
        <v>-80</v>
      </c>
      <c r="I48" s="3">
        <f t="shared" ref="I48" si="32">I47+J48+K48</f>
        <v>628</v>
      </c>
      <c r="J48" s="3">
        <f>-40</f>
        <v>-40</v>
      </c>
      <c r="K48" s="3">
        <v>0</v>
      </c>
      <c r="L48" s="14">
        <f t="shared" ref="L48" si="33">SUM(J48:K48)</f>
        <v>-40</v>
      </c>
      <c r="N48" s="32">
        <f t="shared" ref="N48:N49" si="34">E48+I48</f>
        <v>4561</v>
      </c>
    </row>
    <row r="49" spans="1:14" ht="15" customHeight="1" x14ac:dyDescent="0.35">
      <c r="A49" s="2">
        <v>6</v>
      </c>
      <c r="B49" s="3">
        <v>1</v>
      </c>
      <c r="C49" s="3">
        <v>0</v>
      </c>
      <c r="D49" s="3">
        <f t="shared" ref="D49" si="35">D48+B49-C49</f>
        <v>31</v>
      </c>
      <c r="E49" s="3">
        <f>E48+F49+G49</f>
        <v>4043</v>
      </c>
      <c r="F49" s="3">
        <f>-10-80</f>
        <v>-90</v>
      </c>
      <c r="G49" s="3">
        <f>40+160</f>
        <v>200</v>
      </c>
      <c r="H49" s="3">
        <f t="shared" si="31"/>
        <v>110</v>
      </c>
      <c r="I49" s="3">
        <f>I48+J49+K49</f>
        <v>628</v>
      </c>
      <c r="J49" s="3">
        <v>0</v>
      </c>
      <c r="K49" s="3">
        <v>0</v>
      </c>
      <c r="L49" s="14">
        <f>SUM(J49:K49)</f>
        <v>0</v>
      </c>
      <c r="N49" s="32">
        <f t="shared" si="34"/>
        <v>4671</v>
      </c>
    </row>
    <row r="50" spans="1:14" ht="15" customHeight="1" x14ac:dyDescent="0.35">
      <c r="A50" s="5">
        <v>7</v>
      </c>
      <c r="B50" s="6">
        <v>0</v>
      </c>
      <c r="C50" s="6">
        <v>0</v>
      </c>
      <c r="D50" s="6">
        <f t="shared" ref="D50" si="36">D49+B50-C50</f>
        <v>31</v>
      </c>
      <c r="E50" s="6">
        <f>E49+F50+G50</f>
        <v>3933</v>
      </c>
      <c r="F50" s="6">
        <f>-20-60-24-6</f>
        <v>-110</v>
      </c>
      <c r="G50" s="6">
        <v>0</v>
      </c>
      <c r="H50" s="6">
        <f t="shared" ref="H50" si="37">SUM(F50:G50)</f>
        <v>-110</v>
      </c>
      <c r="I50" s="6">
        <f>I49+J50+K50</f>
        <v>568</v>
      </c>
      <c r="J50" s="6">
        <f>-60</f>
        <v>-60</v>
      </c>
      <c r="K50" s="6">
        <v>0</v>
      </c>
      <c r="L50" s="15">
        <f>SUM(J50:K50)</f>
        <v>-60</v>
      </c>
      <c r="N50" s="32">
        <f t="shared" ref="N50" si="38">E50+I50</f>
        <v>4501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1:L1"/>
    <mergeCell ref="H3:L3"/>
    <mergeCell ref="E4:L4"/>
    <mergeCell ref="F5:H5"/>
    <mergeCell ref="J5:L5"/>
    <mergeCell ref="I5:I6"/>
    <mergeCell ref="G51:L51"/>
    <mergeCell ref="A51:E51"/>
    <mergeCell ref="B4:D4"/>
    <mergeCell ref="A4:A6"/>
    <mergeCell ref="B5:B6"/>
    <mergeCell ref="C5:C6"/>
    <mergeCell ref="D5:D6"/>
    <mergeCell ref="E5:E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29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1+2+2</f>
        <v>5</v>
      </c>
      <c r="C7" s="9">
        <v>0</v>
      </c>
      <c r="D7" s="9">
        <f>B7-C7</f>
        <v>5</v>
      </c>
      <c r="E7" s="9">
        <f>SUM(F7:G7)</f>
        <v>200</v>
      </c>
      <c r="F7" s="9">
        <v>0</v>
      </c>
      <c r="G7" s="9">
        <f>50+100+50</f>
        <v>200</v>
      </c>
      <c r="H7" s="9">
        <f>SUM(F7:G7)</f>
        <v>200</v>
      </c>
      <c r="I7" s="9">
        <f>SUM(J7:K7)</f>
        <v>50</v>
      </c>
      <c r="J7" s="9">
        <v>0</v>
      </c>
      <c r="K7" s="9">
        <v>50</v>
      </c>
      <c r="L7" s="13">
        <f>SUM(J7:K7)</f>
        <v>50</v>
      </c>
    </row>
    <row r="8" spans="1:12" ht="15" customHeight="1" x14ac:dyDescent="0.35">
      <c r="A8" s="27" t="s">
        <v>16</v>
      </c>
      <c r="B8" s="3">
        <f>1+2+4+2</f>
        <v>9</v>
      </c>
      <c r="C8" s="3">
        <f>1+1</f>
        <v>2</v>
      </c>
      <c r="D8" s="3">
        <f t="shared" ref="D8:D40" si="0">D7+B8-C8</f>
        <v>12</v>
      </c>
      <c r="E8" s="3">
        <f t="shared" ref="E8:E40" si="1">E7+F8+G8</f>
        <v>850</v>
      </c>
      <c r="F8" s="3">
        <f>100+50</f>
        <v>150</v>
      </c>
      <c r="G8" s="3">
        <f>150+230+120</f>
        <v>500</v>
      </c>
      <c r="H8" s="3">
        <f t="shared" ref="H8:H26" si="2">F8+G8</f>
        <v>650</v>
      </c>
      <c r="I8" s="3">
        <f t="shared" ref="I8:I40" si="3">I7+J8+K8</f>
        <v>570</v>
      </c>
      <c r="J8" s="3">
        <f>150+50</f>
        <v>200</v>
      </c>
      <c r="K8" s="3">
        <f>50+100+170</f>
        <v>320</v>
      </c>
      <c r="L8" s="14">
        <f t="shared" ref="L8:L14" si="4">J8+K8</f>
        <v>520</v>
      </c>
    </row>
    <row r="9" spans="1:12" ht="15" customHeight="1" x14ac:dyDescent="0.35">
      <c r="A9" s="27" t="s">
        <v>17</v>
      </c>
      <c r="B9" s="3">
        <f>5+4+6+5+1</f>
        <v>21</v>
      </c>
      <c r="C9" s="3">
        <v>0</v>
      </c>
      <c r="D9" s="3">
        <f t="shared" si="0"/>
        <v>33</v>
      </c>
      <c r="E9" s="3">
        <f t="shared" si="1"/>
        <v>2180</v>
      </c>
      <c r="F9" s="3">
        <f>100+85+220+10</f>
        <v>415</v>
      </c>
      <c r="G9" s="3">
        <f>160+200+185+320+50</f>
        <v>915</v>
      </c>
      <c r="H9" s="3">
        <f t="shared" si="2"/>
        <v>1330</v>
      </c>
      <c r="I9" s="3">
        <f t="shared" si="3"/>
        <v>1260</v>
      </c>
      <c r="J9" s="3">
        <f>-50+95+80+15</f>
        <v>140</v>
      </c>
      <c r="K9" s="3">
        <f>80+160+90+220</f>
        <v>550</v>
      </c>
      <c r="L9" s="14">
        <f t="shared" si="4"/>
        <v>690</v>
      </c>
    </row>
    <row r="10" spans="1:12" ht="15" customHeight="1" x14ac:dyDescent="0.35">
      <c r="A10" s="2" t="s">
        <v>18</v>
      </c>
      <c r="B10" s="3">
        <f>2+1+1+1+3</f>
        <v>8</v>
      </c>
      <c r="C10" s="3">
        <f>1+2</f>
        <v>3</v>
      </c>
      <c r="D10" s="3">
        <f t="shared" si="0"/>
        <v>38</v>
      </c>
      <c r="E10" s="3">
        <f t="shared" si="1"/>
        <v>3320</v>
      </c>
      <c r="F10" s="3">
        <f>20+240+65+80</f>
        <v>405</v>
      </c>
      <c r="G10" s="3">
        <f>190+150+150+50+195</f>
        <v>735</v>
      </c>
      <c r="H10" s="3">
        <f t="shared" si="2"/>
        <v>1140</v>
      </c>
      <c r="I10" s="3">
        <f t="shared" si="3"/>
        <v>1655</v>
      </c>
      <c r="J10" s="3">
        <f>40+220-20-205</f>
        <v>35</v>
      </c>
      <c r="K10" s="3">
        <f>130+50+50+30+100</f>
        <v>360</v>
      </c>
      <c r="L10" s="14">
        <f t="shared" si="4"/>
        <v>395</v>
      </c>
    </row>
    <row r="11" spans="1:12" ht="15" customHeight="1" x14ac:dyDescent="0.35">
      <c r="A11" s="2" t="s">
        <v>19</v>
      </c>
      <c r="B11" s="3">
        <f>2+1+3</f>
        <v>6</v>
      </c>
      <c r="C11" s="3">
        <v>1</v>
      </c>
      <c r="D11" s="3">
        <f t="shared" si="0"/>
        <v>43</v>
      </c>
      <c r="E11" s="3">
        <f t="shared" si="1"/>
        <v>4201</v>
      </c>
      <c r="F11" s="3">
        <f>85+142+250+60-110</f>
        <v>427</v>
      </c>
      <c r="G11" s="3">
        <f>264+50+140</f>
        <v>454</v>
      </c>
      <c r="H11" s="3">
        <f t="shared" si="2"/>
        <v>881</v>
      </c>
      <c r="I11" s="3">
        <f t="shared" si="3"/>
        <v>2123</v>
      </c>
      <c r="J11" s="3">
        <f>6+117+50+165</f>
        <v>338</v>
      </c>
      <c r="K11" s="3">
        <v>130</v>
      </c>
      <c r="L11" s="14">
        <f t="shared" si="4"/>
        <v>468</v>
      </c>
    </row>
    <row r="12" spans="1:12" ht="15" customHeight="1" x14ac:dyDescent="0.35">
      <c r="A12" s="2" t="s">
        <v>23</v>
      </c>
      <c r="B12" s="3">
        <f>1+1</f>
        <v>2</v>
      </c>
      <c r="C12" s="3">
        <f>1+1+2</f>
        <v>4</v>
      </c>
      <c r="D12" s="3">
        <f t="shared" si="0"/>
        <v>41</v>
      </c>
      <c r="E12" s="3">
        <f t="shared" si="1"/>
        <v>4056</v>
      </c>
      <c r="F12" s="3">
        <f>40-20-50+25-230</f>
        <v>-235</v>
      </c>
      <c r="G12" s="3">
        <f>40+50</f>
        <v>90</v>
      </c>
      <c r="H12" s="3">
        <f t="shared" si="2"/>
        <v>-145</v>
      </c>
      <c r="I12" s="3">
        <f t="shared" si="3"/>
        <v>1773</v>
      </c>
      <c r="J12" s="3">
        <f>-140+50-50-210</f>
        <v>-350</v>
      </c>
      <c r="K12" s="3">
        <v>0</v>
      </c>
      <c r="L12" s="14">
        <f t="shared" si="4"/>
        <v>-350</v>
      </c>
    </row>
    <row r="13" spans="1:12" ht="15" customHeight="1" x14ac:dyDescent="0.35">
      <c r="A13" s="2">
        <v>63</v>
      </c>
      <c r="B13" s="3">
        <v>1</v>
      </c>
      <c r="C13" s="3">
        <v>1</v>
      </c>
      <c r="D13" s="3">
        <f t="shared" si="0"/>
        <v>41</v>
      </c>
      <c r="E13" s="3">
        <f t="shared" si="1"/>
        <v>4166</v>
      </c>
      <c r="F13" s="3">
        <v>70</v>
      </c>
      <c r="G13" s="3">
        <v>40</v>
      </c>
      <c r="H13" s="3">
        <f t="shared" si="2"/>
        <v>110</v>
      </c>
      <c r="I13" s="3">
        <f t="shared" si="3"/>
        <v>1773</v>
      </c>
      <c r="J13" s="3">
        <v>0</v>
      </c>
      <c r="K13" s="3">
        <v>0</v>
      </c>
      <c r="L13" s="14">
        <f t="shared" si="4"/>
        <v>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0"/>
        <v>41</v>
      </c>
      <c r="E14" s="3">
        <f t="shared" si="1"/>
        <v>4166</v>
      </c>
      <c r="F14" s="3">
        <v>0</v>
      </c>
      <c r="G14" s="3">
        <v>0</v>
      </c>
      <c r="H14" s="3">
        <f t="shared" si="2"/>
        <v>0</v>
      </c>
      <c r="I14" s="3">
        <f t="shared" si="3"/>
        <v>1773</v>
      </c>
      <c r="J14" s="3">
        <v>0</v>
      </c>
      <c r="K14" s="3">
        <v>0</v>
      </c>
      <c r="L14" s="14">
        <f t="shared" si="4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0"/>
        <v>41</v>
      </c>
      <c r="E15" s="3">
        <f t="shared" si="1"/>
        <v>4434</v>
      </c>
      <c r="F15" s="3">
        <v>268</v>
      </c>
      <c r="G15" s="3">
        <v>0</v>
      </c>
      <c r="H15" s="3">
        <f t="shared" si="2"/>
        <v>268</v>
      </c>
      <c r="I15" s="3">
        <f t="shared" si="3"/>
        <v>1723</v>
      </c>
      <c r="J15" s="3">
        <v>-50</v>
      </c>
      <c r="K15" s="3">
        <v>0</v>
      </c>
      <c r="L15" s="14">
        <f>J15+K15</f>
        <v>-50</v>
      </c>
    </row>
    <row r="16" spans="1:12" ht="15" customHeight="1" x14ac:dyDescent="0.35">
      <c r="A16" s="2">
        <v>3</v>
      </c>
      <c r="B16" s="3">
        <v>1</v>
      </c>
      <c r="C16" s="3">
        <v>0</v>
      </c>
      <c r="D16" s="3">
        <f t="shared" si="0"/>
        <v>42</v>
      </c>
      <c r="E16" s="3">
        <f t="shared" si="1"/>
        <v>4609</v>
      </c>
      <c r="F16" s="3">
        <v>145</v>
      </c>
      <c r="G16" s="3">
        <v>30</v>
      </c>
      <c r="H16" s="3">
        <f t="shared" si="2"/>
        <v>175</v>
      </c>
      <c r="I16" s="3">
        <f t="shared" si="3"/>
        <v>1753</v>
      </c>
      <c r="J16" s="3">
        <v>0</v>
      </c>
      <c r="K16" s="3">
        <v>30</v>
      </c>
      <c r="L16" s="14">
        <f>J16+K16</f>
        <v>30</v>
      </c>
    </row>
    <row r="17" spans="1:14" ht="15" customHeight="1" x14ac:dyDescent="0.35">
      <c r="A17" s="2">
        <v>4</v>
      </c>
      <c r="B17" s="3">
        <v>1</v>
      </c>
      <c r="C17" s="3">
        <v>0</v>
      </c>
      <c r="D17" s="3">
        <f t="shared" si="0"/>
        <v>43</v>
      </c>
      <c r="E17" s="3">
        <f t="shared" si="1"/>
        <v>4498</v>
      </c>
      <c r="F17" s="3">
        <v>-271</v>
      </c>
      <c r="G17" s="3">
        <v>160</v>
      </c>
      <c r="H17" s="3">
        <f t="shared" si="2"/>
        <v>-111</v>
      </c>
      <c r="I17" s="3">
        <f t="shared" si="3"/>
        <v>1583</v>
      </c>
      <c r="J17" s="3">
        <v>-170</v>
      </c>
      <c r="K17" s="3">
        <v>0</v>
      </c>
      <c r="L17" s="14">
        <f>J17+K17</f>
        <v>-170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43</v>
      </c>
      <c r="E18" s="3">
        <f t="shared" si="1"/>
        <v>4671</v>
      </c>
      <c r="F18" s="3">
        <v>173</v>
      </c>
      <c r="G18" s="3">
        <v>0</v>
      </c>
      <c r="H18" s="3">
        <f t="shared" si="2"/>
        <v>173</v>
      </c>
      <c r="I18" s="3">
        <f t="shared" si="3"/>
        <v>1583</v>
      </c>
      <c r="J18" s="3">
        <v>0</v>
      </c>
      <c r="K18" s="3">
        <v>0</v>
      </c>
      <c r="L18" s="14">
        <f t="shared" ref="L18:L19" si="5">J18+K18</f>
        <v>0</v>
      </c>
    </row>
    <row r="19" spans="1:14" ht="15" customHeight="1" x14ac:dyDescent="0.35">
      <c r="A19" s="2">
        <v>6</v>
      </c>
      <c r="B19" s="3">
        <v>2</v>
      </c>
      <c r="C19" s="3">
        <v>1</v>
      </c>
      <c r="D19" s="3">
        <f t="shared" si="0"/>
        <v>44</v>
      </c>
      <c r="E19" s="3">
        <f t="shared" si="1"/>
        <v>4611</v>
      </c>
      <c r="F19" s="3">
        <v>-80</v>
      </c>
      <c r="G19" s="3">
        <v>20</v>
      </c>
      <c r="H19" s="3">
        <f t="shared" si="2"/>
        <v>-60</v>
      </c>
      <c r="I19" s="3">
        <f t="shared" si="3"/>
        <v>1583</v>
      </c>
      <c r="J19" s="3">
        <v>0</v>
      </c>
      <c r="K19" s="3">
        <v>0</v>
      </c>
      <c r="L19" s="14">
        <f t="shared" si="5"/>
        <v>0</v>
      </c>
    </row>
    <row r="20" spans="1:14" ht="15" customHeight="1" x14ac:dyDescent="0.35">
      <c r="A20" s="2">
        <v>7</v>
      </c>
      <c r="B20" s="3">
        <v>0</v>
      </c>
      <c r="C20" s="3">
        <v>2</v>
      </c>
      <c r="D20" s="3">
        <f t="shared" si="0"/>
        <v>42</v>
      </c>
      <c r="E20" s="3">
        <f t="shared" si="1"/>
        <v>4549</v>
      </c>
      <c r="F20" s="3">
        <v>-62</v>
      </c>
      <c r="G20" s="3">
        <v>0</v>
      </c>
      <c r="H20" s="3">
        <f t="shared" si="2"/>
        <v>-62</v>
      </c>
      <c r="I20" s="3">
        <f t="shared" si="3"/>
        <v>1413</v>
      </c>
      <c r="J20" s="3">
        <v>-170</v>
      </c>
      <c r="K20" s="3">
        <v>0</v>
      </c>
      <c r="L20" s="14">
        <f>J20+K20</f>
        <v>-170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42</v>
      </c>
      <c r="E21" s="3">
        <f t="shared" si="1"/>
        <v>4679</v>
      </c>
      <c r="F21" s="3">
        <v>130</v>
      </c>
      <c r="G21" s="3">
        <v>0</v>
      </c>
      <c r="H21" s="3">
        <f t="shared" si="2"/>
        <v>130</v>
      </c>
      <c r="I21" s="3">
        <f t="shared" si="3"/>
        <v>1313</v>
      </c>
      <c r="J21" s="3">
        <v>-100</v>
      </c>
      <c r="K21" s="3">
        <v>0</v>
      </c>
      <c r="L21" s="14">
        <f t="shared" ref="L21:L23" si="6">J21+K21</f>
        <v>-100</v>
      </c>
    </row>
    <row r="22" spans="1:14" ht="15" customHeight="1" x14ac:dyDescent="0.35">
      <c r="A22" s="2">
        <v>9</v>
      </c>
      <c r="B22" s="3">
        <v>1</v>
      </c>
      <c r="C22" s="3">
        <v>1</v>
      </c>
      <c r="D22" s="3">
        <f t="shared" si="0"/>
        <v>42</v>
      </c>
      <c r="E22" s="3">
        <f t="shared" si="1"/>
        <v>4529</v>
      </c>
      <c r="F22" s="3">
        <v>-190</v>
      </c>
      <c r="G22" s="3">
        <v>40</v>
      </c>
      <c r="H22" s="3">
        <f t="shared" si="2"/>
        <v>-150</v>
      </c>
      <c r="I22" s="3">
        <f t="shared" si="3"/>
        <v>1313</v>
      </c>
      <c r="J22" s="3">
        <v>0</v>
      </c>
      <c r="K22" s="3">
        <v>0</v>
      </c>
      <c r="L22" s="14">
        <f t="shared" si="6"/>
        <v>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0"/>
        <v>42</v>
      </c>
      <c r="E23" s="3">
        <f t="shared" si="1"/>
        <v>4467</v>
      </c>
      <c r="F23" s="3">
        <v>-62</v>
      </c>
      <c r="G23" s="3">
        <v>0</v>
      </c>
      <c r="H23" s="3">
        <f t="shared" si="2"/>
        <v>-62</v>
      </c>
      <c r="I23" s="3">
        <f t="shared" si="3"/>
        <v>1293</v>
      </c>
      <c r="J23" s="3">
        <v>-20</v>
      </c>
      <c r="K23" s="3">
        <v>0</v>
      </c>
      <c r="L23" s="14">
        <f t="shared" si="6"/>
        <v>-20</v>
      </c>
    </row>
    <row r="24" spans="1:14" ht="15" customHeight="1" x14ac:dyDescent="0.35">
      <c r="A24" s="2">
        <v>11</v>
      </c>
      <c r="B24" s="3">
        <v>1</v>
      </c>
      <c r="C24" s="3">
        <v>1</v>
      </c>
      <c r="D24" s="3">
        <f t="shared" si="0"/>
        <v>42</v>
      </c>
      <c r="E24" s="3">
        <f t="shared" si="1"/>
        <v>4347</v>
      </c>
      <c r="F24" s="3">
        <v>-200</v>
      </c>
      <c r="G24" s="3">
        <v>80</v>
      </c>
      <c r="H24" s="3">
        <f t="shared" si="2"/>
        <v>-120</v>
      </c>
      <c r="I24" s="3">
        <f t="shared" si="3"/>
        <v>1193</v>
      </c>
      <c r="J24" s="3">
        <v>-100</v>
      </c>
      <c r="K24" s="3">
        <v>0</v>
      </c>
      <c r="L24" s="14">
        <f>J24+K24</f>
        <v>-100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0"/>
        <v>42</v>
      </c>
      <c r="E25" s="3">
        <f t="shared" si="1"/>
        <v>4467</v>
      </c>
      <c r="F25" s="3">
        <v>120</v>
      </c>
      <c r="G25" s="3">
        <v>0</v>
      </c>
      <c r="H25" s="3">
        <f t="shared" si="2"/>
        <v>120</v>
      </c>
      <c r="I25" s="3">
        <f t="shared" si="3"/>
        <v>1173</v>
      </c>
      <c r="J25" s="3">
        <v>-20</v>
      </c>
      <c r="K25" s="3">
        <v>0</v>
      </c>
      <c r="L25" s="14">
        <f>J25+K25</f>
        <v>-20</v>
      </c>
    </row>
    <row r="26" spans="1:14" ht="15" customHeight="1" x14ac:dyDescent="0.35">
      <c r="A26" s="2">
        <v>13</v>
      </c>
      <c r="B26" s="3">
        <v>1</v>
      </c>
      <c r="C26" s="3">
        <v>0</v>
      </c>
      <c r="D26" s="3">
        <f t="shared" si="0"/>
        <v>43</v>
      </c>
      <c r="E26" s="3">
        <f t="shared" si="1"/>
        <v>4522</v>
      </c>
      <c r="F26" s="3">
        <v>20</v>
      </c>
      <c r="G26" s="3">
        <v>35</v>
      </c>
      <c r="H26" s="3">
        <f t="shared" si="2"/>
        <v>55</v>
      </c>
      <c r="I26" s="3">
        <f t="shared" si="3"/>
        <v>1248</v>
      </c>
      <c r="J26" s="3">
        <v>75</v>
      </c>
      <c r="K26" s="3">
        <v>0</v>
      </c>
      <c r="L26" s="14">
        <f>J26+K26</f>
        <v>75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0"/>
        <v>44</v>
      </c>
      <c r="E27" s="3">
        <f t="shared" si="1"/>
        <v>4562</v>
      </c>
      <c r="F27" s="3">
        <v>0</v>
      </c>
      <c r="G27" s="3">
        <v>40</v>
      </c>
      <c r="H27" s="3">
        <f>F27+G27</f>
        <v>40</v>
      </c>
      <c r="I27" s="3">
        <f t="shared" si="3"/>
        <v>1248</v>
      </c>
      <c r="J27" s="3">
        <v>0</v>
      </c>
      <c r="K27" s="3">
        <v>0</v>
      </c>
      <c r="L27" s="14">
        <f t="shared" ref="L27:L28" si="7">J27+K27</f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0"/>
        <v>44</v>
      </c>
      <c r="E28" s="3">
        <f t="shared" si="1"/>
        <v>4452</v>
      </c>
      <c r="F28" s="3">
        <v>-110</v>
      </c>
      <c r="G28" s="3">
        <v>0</v>
      </c>
      <c r="H28" s="3">
        <f>F28+G28</f>
        <v>-110</v>
      </c>
      <c r="I28" s="3">
        <f t="shared" si="3"/>
        <v>1030</v>
      </c>
      <c r="J28" s="3">
        <v>-218</v>
      </c>
      <c r="K28" s="3">
        <v>0</v>
      </c>
      <c r="L28" s="14">
        <f t="shared" si="7"/>
        <v>-218</v>
      </c>
    </row>
    <row r="29" spans="1:14" ht="15" customHeight="1" x14ac:dyDescent="0.35">
      <c r="A29" s="2">
        <v>16</v>
      </c>
      <c r="B29" s="3">
        <v>1</v>
      </c>
      <c r="C29" s="3">
        <v>0</v>
      </c>
      <c r="D29" s="3">
        <f t="shared" si="0"/>
        <v>45</v>
      </c>
      <c r="E29" s="3">
        <f t="shared" si="1"/>
        <v>4497</v>
      </c>
      <c r="F29" s="3">
        <v>15</v>
      </c>
      <c r="G29" s="3">
        <v>30</v>
      </c>
      <c r="H29" s="3">
        <f t="shared" ref="H29:H34" si="8">SUM(F29:G29)</f>
        <v>45</v>
      </c>
      <c r="I29" s="3">
        <f t="shared" si="3"/>
        <v>700</v>
      </c>
      <c r="J29" s="3">
        <v>-345</v>
      </c>
      <c r="K29" s="3">
        <v>15</v>
      </c>
      <c r="L29" s="14">
        <f>J29+K29</f>
        <v>-330</v>
      </c>
    </row>
    <row r="30" spans="1:14" ht="15" customHeight="1" x14ac:dyDescent="0.35">
      <c r="A30" s="2">
        <v>17</v>
      </c>
      <c r="B30" s="3">
        <v>1</v>
      </c>
      <c r="C30" s="3">
        <v>0</v>
      </c>
      <c r="D30" s="3">
        <f t="shared" si="0"/>
        <v>46</v>
      </c>
      <c r="E30" s="3">
        <f t="shared" si="1"/>
        <v>4381</v>
      </c>
      <c r="F30" s="3">
        <f>-20-10-40-6-120+40</f>
        <v>-156</v>
      </c>
      <c r="G30" s="3">
        <v>40</v>
      </c>
      <c r="H30" s="3">
        <f t="shared" si="8"/>
        <v>-116</v>
      </c>
      <c r="I30" s="3">
        <f t="shared" si="3"/>
        <v>700</v>
      </c>
      <c r="J30" s="3">
        <v>0</v>
      </c>
      <c r="K30" s="3">
        <v>0</v>
      </c>
      <c r="L30" s="14">
        <f t="shared" ref="L30:L31" si="9">J30+K30</f>
        <v>0</v>
      </c>
    </row>
    <row r="31" spans="1:14" ht="15" customHeight="1" x14ac:dyDescent="0.35">
      <c r="A31" s="2">
        <v>18</v>
      </c>
      <c r="B31" s="3">
        <v>1</v>
      </c>
      <c r="C31" s="3">
        <v>1</v>
      </c>
      <c r="D31" s="3">
        <f t="shared" si="0"/>
        <v>46</v>
      </c>
      <c r="E31" s="3">
        <f t="shared" si="1"/>
        <v>4351</v>
      </c>
      <c r="F31" s="3">
        <v>-70</v>
      </c>
      <c r="G31" s="3">
        <v>40</v>
      </c>
      <c r="H31" s="3">
        <f t="shared" si="8"/>
        <v>-30</v>
      </c>
      <c r="I31" s="3">
        <f t="shared" si="3"/>
        <v>700</v>
      </c>
      <c r="J31" s="3">
        <v>0</v>
      </c>
      <c r="K31" s="3">
        <v>0</v>
      </c>
      <c r="L31" s="14">
        <f t="shared" si="9"/>
        <v>0</v>
      </c>
    </row>
    <row r="32" spans="1:14" ht="15" customHeight="1" x14ac:dyDescent="0.35">
      <c r="A32" s="2">
        <v>19</v>
      </c>
      <c r="B32" s="3">
        <v>1</v>
      </c>
      <c r="C32" s="3">
        <v>1</v>
      </c>
      <c r="D32" s="3">
        <f t="shared" si="0"/>
        <v>46</v>
      </c>
      <c r="E32" s="3">
        <f t="shared" si="1"/>
        <v>4217</v>
      </c>
      <c r="F32" s="3">
        <f>-34-20-40-80-20-120+80+90-30</f>
        <v>-174</v>
      </c>
      <c r="G32" s="3">
        <v>40</v>
      </c>
      <c r="H32" s="3">
        <f t="shared" si="8"/>
        <v>-134</v>
      </c>
      <c r="I32" s="3">
        <f t="shared" si="3"/>
        <v>640</v>
      </c>
      <c r="J32" s="3">
        <f>-50+80-30-40-10-10</f>
        <v>-60</v>
      </c>
      <c r="K32" s="3">
        <v>0</v>
      </c>
      <c r="L32" s="14">
        <f t="shared" ref="L32:L39" si="10">J32+K32</f>
        <v>-60</v>
      </c>
      <c r="N32" s="32">
        <f t="shared" ref="N32:N41" si="11">E32+I32</f>
        <v>4857</v>
      </c>
    </row>
    <row r="33" spans="1:14" ht="15" customHeight="1" x14ac:dyDescent="0.35">
      <c r="A33" s="2">
        <v>20</v>
      </c>
      <c r="B33" s="3">
        <v>0</v>
      </c>
      <c r="C33" s="3">
        <v>1</v>
      </c>
      <c r="D33" s="3">
        <f t="shared" si="0"/>
        <v>45</v>
      </c>
      <c r="E33" s="3">
        <f t="shared" si="1"/>
        <v>4113</v>
      </c>
      <c r="F33" s="3">
        <v>-104</v>
      </c>
      <c r="G33" s="3">
        <v>0</v>
      </c>
      <c r="H33" s="3">
        <f t="shared" si="8"/>
        <v>-104</v>
      </c>
      <c r="I33" s="3">
        <f t="shared" si="3"/>
        <v>595</v>
      </c>
      <c r="J33" s="3">
        <v>-45</v>
      </c>
      <c r="K33" s="3">
        <v>0</v>
      </c>
      <c r="L33" s="14">
        <f t="shared" si="10"/>
        <v>-45</v>
      </c>
      <c r="N33" s="32">
        <f t="shared" si="11"/>
        <v>4708</v>
      </c>
    </row>
    <row r="34" spans="1:14" ht="15" customHeight="1" x14ac:dyDescent="0.35">
      <c r="A34" s="2">
        <v>21</v>
      </c>
      <c r="B34" s="3">
        <v>0</v>
      </c>
      <c r="C34" s="3">
        <v>1</v>
      </c>
      <c r="D34" s="3">
        <f t="shared" si="0"/>
        <v>44</v>
      </c>
      <c r="E34" s="3">
        <f t="shared" si="1"/>
        <v>3793</v>
      </c>
      <c r="F34" s="3">
        <v>-320</v>
      </c>
      <c r="G34" s="3">
        <v>0</v>
      </c>
      <c r="H34" s="3">
        <f t="shared" si="8"/>
        <v>-320</v>
      </c>
      <c r="I34" s="3">
        <f t="shared" si="3"/>
        <v>555</v>
      </c>
      <c r="J34" s="3">
        <v>-40</v>
      </c>
      <c r="K34" s="3">
        <v>0</v>
      </c>
      <c r="L34" s="14">
        <f t="shared" si="10"/>
        <v>-40</v>
      </c>
      <c r="N34" s="32">
        <f t="shared" si="11"/>
        <v>4348</v>
      </c>
    </row>
    <row r="35" spans="1:14" ht="15" customHeight="1" x14ac:dyDescent="0.35">
      <c r="A35" s="2">
        <v>22</v>
      </c>
      <c r="B35" s="3">
        <v>2</v>
      </c>
      <c r="C35" s="3">
        <v>1</v>
      </c>
      <c r="D35" s="3">
        <f t="shared" si="0"/>
        <v>45</v>
      </c>
      <c r="E35" s="3">
        <f t="shared" si="1"/>
        <v>3698</v>
      </c>
      <c r="F35" s="3">
        <f>-20-155</f>
        <v>-175</v>
      </c>
      <c r="G35" s="3">
        <v>80</v>
      </c>
      <c r="H35" s="3">
        <f>SUM(F35:G35)</f>
        <v>-95</v>
      </c>
      <c r="I35" s="3">
        <f t="shared" si="3"/>
        <v>475</v>
      </c>
      <c r="J35" s="3">
        <v>-80</v>
      </c>
      <c r="K35" s="3">
        <v>0</v>
      </c>
      <c r="L35" s="14">
        <f t="shared" si="10"/>
        <v>-80</v>
      </c>
      <c r="N35" s="32">
        <f t="shared" si="11"/>
        <v>4173</v>
      </c>
    </row>
    <row r="36" spans="1:14" ht="15" customHeight="1" x14ac:dyDescent="0.35">
      <c r="A36" s="2">
        <v>23</v>
      </c>
      <c r="B36" s="3">
        <v>0</v>
      </c>
      <c r="C36" s="3">
        <v>1</v>
      </c>
      <c r="D36" s="3">
        <f t="shared" si="0"/>
        <v>44</v>
      </c>
      <c r="E36" s="3">
        <f t="shared" si="1"/>
        <v>3608</v>
      </c>
      <c r="F36" s="3">
        <f>-40-10-40</f>
        <v>-90</v>
      </c>
      <c r="G36" s="3">
        <v>0</v>
      </c>
      <c r="H36" s="3">
        <f>SUM(F36:G36)</f>
        <v>-90</v>
      </c>
      <c r="I36" s="3">
        <f t="shared" si="3"/>
        <v>405</v>
      </c>
      <c r="J36" s="3">
        <f>-10-60</f>
        <v>-70</v>
      </c>
      <c r="K36" s="3">
        <v>0</v>
      </c>
      <c r="L36" s="14">
        <f t="shared" si="10"/>
        <v>-70</v>
      </c>
      <c r="N36" s="32">
        <f t="shared" si="11"/>
        <v>4013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0"/>
        <v>44</v>
      </c>
      <c r="E37" s="3">
        <f t="shared" si="1"/>
        <v>3608</v>
      </c>
      <c r="F37" s="3">
        <v>0</v>
      </c>
      <c r="G37" s="3">
        <v>0</v>
      </c>
      <c r="H37" s="3">
        <f>SUM(F37:G37)</f>
        <v>0</v>
      </c>
      <c r="I37" s="3">
        <f t="shared" si="3"/>
        <v>325</v>
      </c>
      <c r="J37" s="3">
        <v>-80</v>
      </c>
      <c r="K37" s="3">
        <v>0</v>
      </c>
      <c r="L37" s="14">
        <f t="shared" si="10"/>
        <v>-80</v>
      </c>
      <c r="N37" s="32">
        <f>E37+I37</f>
        <v>3933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0"/>
        <v>44</v>
      </c>
      <c r="E38" s="3">
        <f t="shared" si="1"/>
        <v>3608</v>
      </c>
      <c r="F38" s="3">
        <v>0</v>
      </c>
      <c r="G38" s="3">
        <v>0</v>
      </c>
      <c r="H38" s="3">
        <f t="shared" ref="H38" si="12">SUM(F38:G38)</f>
        <v>0</v>
      </c>
      <c r="I38" s="3">
        <f t="shared" si="3"/>
        <v>325</v>
      </c>
      <c r="J38" s="3">
        <v>0</v>
      </c>
      <c r="K38" s="3">
        <v>0</v>
      </c>
      <c r="L38" s="14">
        <f t="shared" si="10"/>
        <v>0</v>
      </c>
      <c r="N38" s="32">
        <f>E38+I38</f>
        <v>3933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0"/>
        <v>43</v>
      </c>
      <c r="E39" s="3">
        <f t="shared" si="1"/>
        <v>3548</v>
      </c>
      <c r="F39" s="3">
        <f>-80+40-20</f>
        <v>-60</v>
      </c>
      <c r="G39" s="3">
        <v>0</v>
      </c>
      <c r="H39" s="3">
        <f t="shared" ref="H39:H45" si="13">SUM(F39:G39)</f>
        <v>-60</v>
      </c>
      <c r="I39" s="3">
        <f t="shared" si="3"/>
        <v>285</v>
      </c>
      <c r="J39" s="3">
        <v>-40</v>
      </c>
      <c r="K39" s="3">
        <v>0</v>
      </c>
      <c r="L39" s="14">
        <f t="shared" si="10"/>
        <v>-40</v>
      </c>
      <c r="N39" s="32">
        <f t="shared" si="11"/>
        <v>3833</v>
      </c>
    </row>
    <row r="40" spans="1:14" ht="15" customHeight="1" x14ac:dyDescent="0.35">
      <c r="A40" s="2">
        <v>27</v>
      </c>
      <c r="B40" s="3">
        <v>0</v>
      </c>
      <c r="C40" s="3">
        <v>1</v>
      </c>
      <c r="D40" s="3">
        <f t="shared" si="0"/>
        <v>42</v>
      </c>
      <c r="E40" s="3">
        <f t="shared" si="1"/>
        <v>3422</v>
      </c>
      <c r="F40" s="3">
        <v>-126</v>
      </c>
      <c r="G40" s="3">
        <v>0</v>
      </c>
      <c r="H40" s="3">
        <f t="shared" si="13"/>
        <v>-126</v>
      </c>
      <c r="I40" s="3">
        <f t="shared" si="3"/>
        <v>325</v>
      </c>
      <c r="J40" s="3">
        <v>40</v>
      </c>
      <c r="K40" s="3">
        <v>0</v>
      </c>
      <c r="L40" s="14">
        <f t="shared" ref="L40:L45" si="14">J40+K40</f>
        <v>40</v>
      </c>
      <c r="N40" s="32">
        <f t="shared" si="11"/>
        <v>3747</v>
      </c>
    </row>
    <row r="41" spans="1:14" ht="15" customHeight="1" x14ac:dyDescent="0.35">
      <c r="A41" s="2">
        <v>28</v>
      </c>
      <c r="B41" s="3">
        <v>2</v>
      </c>
      <c r="C41" s="3">
        <v>0</v>
      </c>
      <c r="D41" s="3">
        <f t="shared" ref="D41:D46" si="15">D40+B41-C41</f>
        <v>44</v>
      </c>
      <c r="E41" s="3">
        <f t="shared" ref="E41:E46" si="16">E40+F41+G41</f>
        <v>3587</v>
      </c>
      <c r="F41" s="3">
        <f>40+80-100</f>
        <v>20</v>
      </c>
      <c r="G41" s="3">
        <f>40+30+75</f>
        <v>145</v>
      </c>
      <c r="H41" s="3">
        <f t="shared" si="13"/>
        <v>165</v>
      </c>
      <c r="I41" s="3">
        <f t="shared" ref="I41:I46" si="17">I40+J41+K41</f>
        <v>325</v>
      </c>
      <c r="J41" s="3">
        <v>0</v>
      </c>
      <c r="K41" s="3">
        <v>0</v>
      </c>
      <c r="L41" s="14">
        <f t="shared" si="14"/>
        <v>0</v>
      </c>
      <c r="N41" s="32">
        <f t="shared" si="11"/>
        <v>3912</v>
      </c>
    </row>
    <row r="42" spans="1:14" ht="15" customHeight="1" x14ac:dyDescent="0.35">
      <c r="A42" s="2">
        <v>29</v>
      </c>
      <c r="B42" s="3">
        <v>1</v>
      </c>
      <c r="C42" s="3">
        <v>0</v>
      </c>
      <c r="D42" s="3">
        <f t="shared" si="15"/>
        <v>45</v>
      </c>
      <c r="E42" s="3">
        <f t="shared" si="16"/>
        <v>3627</v>
      </c>
      <c r="F42" s="3">
        <v>0</v>
      </c>
      <c r="G42" s="3">
        <v>40</v>
      </c>
      <c r="H42" s="3">
        <f t="shared" si="13"/>
        <v>40</v>
      </c>
      <c r="I42" s="3">
        <f t="shared" si="17"/>
        <v>345</v>
      </c>
      <c r="J42" s="3">
        <v>0</v>
      </c>
      <c r="K42" s="3">
        <v>20</v>
      </c>
      <c r="L42" s="14">
        <f t="shared" si="14"/>
        <v>20</v>
      </c>
      <c r="N42" s="32">
        <f t="shared" ref="N42" si="18">E42+I42</f>
        <v>3972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15"/>
        <v>45</v>
      </c>
      <c r="E43" s="3">
        <f t="shared" si="16"/>
        <v>3547</v>
      </c>
      <c r="F43" s="3">
        <f>-20-40-20</f>
        <v>-80</v>
      </c>
      <c r="G43" s="3">
        <v>0</v>
      </c>
      <c r="H43" s="3">
        <f t="shared" si="13"/>
        <v>-80</v>
      </c>
      <c r="I43" s="3">
        <f t="shared" si="17"/>
        <v>330</v>
      </c>
      <c r="J43" s="3">
        <f>-15</f>
        <v>-15</v>
      </c>
      <c r="K43" s="3">
        <v>0</v>
      </c>
      <c r="L43" s="14">
        <f t="shared" si="14"/>
        <v>-15</v>
      </c>
      <c r="N43" s="32">
        <f t="shared" ref="N43:N44" si="19">E43+I43</f>
        <v>3877</v>
      </c>
    </row>
    <row r="44" spans="1:14" ht="15" customHeight="1" x14ac:dyDescent="0.35">
      <c r="A44" s="2">
        <v>31</v>
      </c>
      <c r="B44" s="3">
        <v>1</v>
      </c>
      <c r="C44" s="3">
        <v>1</v>
      </c>
      <c r="D44" s="3">
        <f t="shared" si="15"/>
        <v>45</v>
      </c>
      <c r="E44" s="3">
        <f t="shared" si="16"/>
        <v>3547</v>
      </c>
      <c r="F44" s="3">
        <f>-40</f>
        <v>-40</v>
      </c>
      <c r="G44" s="3">
        <v>40</v>
      </c>
      <c r="H44" s="3">
        <f t="shared" si="13"/>
        <v>0</v>
      </c>
      <c r="I44" s="3">
        <f t="shared" si="17"/>
        <v>330</v>
      </c>
      <c r="J44" s="3">
        <v>0</v>
      </c>
      <c r="K44" s="3">
        <v>0</v>
      </c>
      <c r="L44" s="14">
        <f t="shared" si="14"/>
        <v>0</v>
      </c>
      <c r="N44" s="32">
        <f t="shared" si="19"/>
        <v>3877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si="15"/>
        <v>45</v>
      </c>
      <c r="E45" s="3">
        <f t="shared" si="16"/>
        <v>3487</v>
      </c>
      <c r="F45" s="3">
        <f>40-40-20-40</f>
        <v>-60</v>
      </c>
      <c r="G45" s="3">
        <v>0</v>
      </c>
      <c r="H45" s="3">
        <f t="shared" si="13"/>
        <v>-60</v>
      </c>
      <c r="I45" s="3">
        <f>I44+J45+K45</f>
        <v>330</v>
      </c>
      <c r="J45" s="3">
        <v>0</v>
      </c>
      <c r="K45" s="3">
        <v>0</v>
      </c>
      <c r="L45" s="14">
        <f t="shared" si="14"/>
        <v>0</v>
      </c>
      <c r="N45" s="32">
        <f t="shared" ref="N45" si="20">E45+I45</f>
        <v>3817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15"/>
        <v>44</v>
      </c>
      <c r="E46" s="3">
        <f t="shared" si="16"/>
        <v>3427</v>
      </c>
      <c r="F46" s="3">
        <f>-80-40-40+30+20+50</f>
        <v>-60</v>
      </c>
      <c r="G46" s="3">
        <v>0</v>
      </c>
      <c r="H46" s="3">
        <f t="shared" ref="H46" si="21">SUM(F46:G46)</f>
        <v>-60</v>
      </c>
      <c r="I46" s="3">
        <f t="shared" si="17"/>
        <v>290</v>
      </c>
      <c r="J46" s="3">
        <v>-40</v>
      </c>
      <c r="K46" s="3">
        <v>0</v>
      </c>
      <c r="L46" s="14">
        <f t="shared" ref="L46" si="22">J46+K46</f>
        <v>-40</v>
      </c>
      <c r="N46" s="32">
        <f t="shared" ref="N46:N47" si="23">E46+I46</f>
        <v>3717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 t="shared" ref="D47" si="24">D46+B47-C47</f>
        <v>44</v>
      </c>
      <c r="E47" s="3">
        <f t="shared" ref="E47" si="25">E46+F47+G47</f>
        <v>3367</v>
      </c>
      <c r="F47" s="3">
        <f>-30-20-10</f>
        <v>-60</v>
      </c>
      <c r="G47" s="3">
        <v>0</v>
      </c>
      <c r="H47" s="3">
        <f t="shared" ref="H47" si="26">SUM(F47:G47)</f>
        <v>-60</v>
      </c>
      <c r="I47" s="3">
        <f t="shared" ref="I47" si="27">I46+J47+K47</f>
        <v>290</v>
      </c>
      <c r="J47" s="3">
        <v>0</v>
      </c>
      <c r="K47" s="3">
        <v>0</v>
      </c>
      <c r="L47" s="14">
        <f t="shared" ref="L47" si="28">J47+K47</f>
        <v>0</v>
      </c>
      <c r="N47" s="32">
        <f t="shared" si="23"/>
        <v>3657</v>
      </c>
    </row>
    <row r="48" spans="1:14" ht="15" customHeight="1" x14ac:dyDescent="0.35">
      <c r="A48" s="2">
        <v>5</v>
      </c>
      <c r="B48" s="3">
        <v>0</v>
      </c>
      <c r="C48" s="3">
        <v>1</v>
      </c>
      <c r="D48" s="3">
        <f t="shared" ref="D48" si="29">D47+B48-C48</f>
        <v>43</v>
      </c>
      <c r="E48" s="3">
        <f t="shared" ref="E48" si="30">E47+F48+G48</f>
        <v>3297</v>
      </c>
      <c r="F48" s="3">
        <f>-30-40</f>
        <v>-70</v>
      </c>
      <c r="G48" s="3">
        <v>0</v>
      </c>
      <c r="H48" s="3">
        <f t="shared" ref="H48" si="31">SUM(F48:G48)</f>
        <v>-70</v>
      </c>
      <c r="I48" s="3">
        <f t="shared" ref="I48" si="32">I47+J48+K48</f>
        <v>290</v>
      </c>
      <c r="J48" s="3">
        <v>0</v>
      </c>
      <c r="K48" s="3">
        <v>0</v>
      </c>
      <c r="L48" s="14">
        <f t="shared" ref="L48" si="33">J48+K48</f>
        <v>0</v>
      </c>
      <c r="N48" s="32">
        <f t="shared" ref="N48:N50" si="34">E48+I48</f>
        <v>3587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 t="shared" ref="D49" si="35">D48+B49-C49</f>
        <v>43</v>
      </c>
      <c r="E49" s="3">
        <f>E48+F49+G49</f>
        <v>3127</v>
      </c>
      <c r="F49" s="3">
        <f>-20-10-80-50-10</f>
        <v>-170</v>
      </c>
      <c r="G49" s="3">
        <v>0</v>
      </c>
      <c r="H49" s="3">
        <f>SUM(F49:G49)</f>
        <v>-170</v>
      </c>
      <c r="I49" s="3">
        <f>I48+J49+K49</f>
        <v>280</v>
      </c>
      <c r="J49" s="3">
        <f>-10</f>
        <v>-10</v>
      </c>
      <c r="K49" s="3">
        <v>0</v>
      </c>
      <c r="L49" s="14">
        <f>J49+K49</f>
        <v>-10</v>
      </c>
      <c r="N49" s="32">
        <f t="shared" si="34"/>
        <v>3407</v>
      </c>
    </row>
    <row r="50" spans="1:14" ht="15" customHeight="1" x14ac:dyDescent="0.35">
      <c r="A50" s="5">
        <v>7</v>
      </c>
      <c r="B50" s="6">
        <v>0</v>
      </c>
      <c r="C50" s="6">
        <v>2</v>
      </c>
      <c r="D50" s="6">
        <f t="shared" ref="D50" si="36">D49+B50-C50</f>
        <v>41</v>
      </c>
      <c r="E50" s="6">
        <f>E49+F50+G50</f>
        <v>2927</v>
      </c>
      <c r="F50" s="6">
        <f>-40-40-40-40-40</f>
        <v>-200</v>
      </c>
      <c r="G50" s="6">
        <v>0</v>
      </c>
      <c r="H50" s="6">
        <f>SUM(F50:G50)</f>
        <v>-200</v>
      </c>
      <c r="I50" s="6">
        <f>I49+J50+K50</f>
        <v>280</v>
      </c>
      <c r="J50" s="6">
        <v>0</v>
      </c>
      <c r="K50" s="6">
        <v>0</v>
      </c>
      <c r="L50" s="15">
        <f>J50+K50</f>
        <v>0</v>
      </c>
      <c r="N50" s="32">
        <f t="shared" si="34"/>
        <v>3207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G51:L51"/>
    <mergeCell ref="B4:D4"/>
    <mergeCell ref="A1:L1"/>
    <mergeCell ref="E4:L4"/>
    <mergeCell ref="F5:H5"/>
    <mergeCell ref="J5:L5"/>
    <mergeCell ref="A51:E51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9"/>
  <sheetViews>
    <sheetView showOutlineSymbols="0" zoomScaleNormal="100" zoomScaleSheetLayoutView="100" workbookViewId="0">
      <pane ySplit="6" topLeftCell="A7" activePane="bottomLeft" state="frozen"/>
      <selection pane="bottomLeft" activeCell="G51" sqref="G51:L5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5" customHeight="1" x14ac:dyDescent="0.35">
      <c r="D2" s="7"/>
      <c r="F2" s="7"/>
      <c r="G2" s="7"/>
    </row>
    <row r="3" spans="1:12" ht="18.5" customHeight="1" x14ac:dyDescent="0.35">
      <c r="A3" s="21" t="s">
        <v>30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5" customHeight="1" x14ac:dyDescent="0.35">
      <c r="A6" s="53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6+1</f>
        <v>7</v>
      </c>
      <c r="C7" s="9">
        <v>1</v>
      </c>
      <c r="D7" s="9">
        <f>B7-C7</f>
        <v>6</v>
      </c>
      <c r="E7" s="9">
        <f>SUM(F7:G7)</f>
        <v>1005</v>
      </c>
      <c r="F7" s="9">
        <f>25+50</f>
        <v>75</v>
      </c>
      <c r="G7" s="9">
        <f>880+50</f>
        <v>930</v>
      </c>
      <c r="H7" s="9">
        <f>SUM(F7:G7)</f>
        <v>1005</v>
      </c>
      <c r="I7" s="9">
        <f>SUM(J7:K7)</f>
        <v>375</v>
      </c>
      <c r="J7" s="9">
        <f>200+100</f>
        <v>300</v>
      </c>
      <c r="K7" s="9">
        <f>25+50</f>
        <v>75</v>
      </c>
      <c r="L7" s="10">
        <f>SUM(J7:K7)</f>
        <v>375</v>
      </c>
    </row>
    <row r="8" spans="1:12" ht="15" customHeight="1" x14ac:dyDescent="0.35">
      <c r="A8" s="27" t="s">
        <v>16</v>
      </c>
      <c r="B8" s="3">
        <f>3+1+3+4</f>
        <v>11</v>
      </c>
      <c r="C8" s="3">
        <v>0</v>
      </c>
      <c r="D8" s="3">
        <f t="shared" ref="D8:D40" si="0">D7+B8-C8</f>
        <v>17</v>
      </c>
      <c r="E8" s="3">
        <f t="shared" ref="E8:E40" si="1">E7+F8+G8</f>
        <v>2040</v>
      </c>
      <c r="F8" s="3">
        <f>-10-30+50+310</f>
        <v>320</v>
      </c>
      <c r="G8" s="3">
        <f>70+130+180+335</f>
        <v>715</v>
      </c>
      <c r="H8" s="3">
        <f t="shared" ref="H8:H40" si="2">SUM(F8:G8)</f>
        <v>1035</v>
      </c>
      <c r="I8" s="3">
        <f t="shared" ref="I8:I40" si="3">I7+J8+K8</f>
        <v>1380</v>
      </c>
      <c r="J8" s="3">
        <f>-10+80+100+385</f>
        <v>555</v>
      </c>
      <c r="K8" s="3">
        <f>30+280+140</f>
        <v>450</v>
      </c>
      <c r="L8" s="4">
        <f t="shared" ref="L8:L41" si="4">SUM(J8:K8)</f>
        <v>1005</v>
      </c>
    </row>
    <row r="9" spans="1:12" ht="15" customHeight="1" x14ac:dyDescent="0.35">
      <c r="A9" s="27" t="s">
        <v>17</v>
      </c>
      <c r="B9" s="3">
        <f>6+1+2+2</f>
        <v>11</v>
      </c>
      <c r="C9" s="3">
        <v>0</v>
      </c>
      <c r="D9" s="3">
        <f t="shared" si="0"/>
        <v>28</v>
      </c>
      <c r="E9" s="3">
        <f t="shared" si="1"/>
        <v>3830</v>
      </c>
      <c r="F9" s="3">
        <f>200+395+150+135+35</f>
        <v>915</v>
      </c>
      <c r="G9" s="3">
        <f>145+85+645</f>
        <v>875</v>
      </c>
      <c r="H9" s="3">
        <f t="shared" si="2"/>
        <v>1790</v>
      </c>
      <c r="I9" s="3">
        <f t="shared" si="3"/>
        <v>1580</v>
      </c>
      <c r="J9" s="3">
        <f>340-185+25-85+20</f>
        <v>115</v>
      </c>
      <c r="K9" s="3">
        <f>35+50</f>
        <v>85</v>
      </c>
      <c r="L9" s="4">
        <f t="shared" si="4"/>
        <v>200</v>
      </c>
    </row>
    <row r="10" spans="1:12" ht="15" customHeight="1" x14ac:dyDescent="0.35">
      <c r="A10" s="2" t="s">
        <v>18</v>
      </c>
      <c r="B10" s="3">
        <f>6+1</f>
        <v>7</v>
      </c>
      <c r="C10" s="3">
        <f>1+3</f>
        <v>4</v>
      </c>
      <c r="D10" s="3">
        <f t="shared" si="0"/>
        <v>31</v>
      </c>
      <c r="E10" s="3">
        <f t="shared" si="1"/>
        <v>5305</v>
      </c>
      <c r="F10" s="3">
        <f>1175-120+50</f>
        <v>1105</v>
      </c>
      <c r="G10" s="3">
        <f>240+130</f>
        <v>370</v>
      </c>
      <c r="H10" s="3">
        <f t="shared" si="2"/>
        <v>1475</v>
      </c>
      <c r="I10" s="3">
        <f t="shared" si="3"/>
        <v>1560</v>
      </c>
      <c r="J10" s="3">
        <f>55-50-50-100</f>
        <v>-145</v>
      </c>
      <c r="K10" s="3">
        <v>125</v>
      </c>
      <c r="L10" s="4">
        <f t="shared" si="4"/>
        <v>-20</v>
      </c>
    </row>
    <row r="11" spans="1:12" ht="15" customHeight="1" x14ac:dyDescent="0.35">
      <c r="A11" s="2" t="s">
        <v>19</v>
      </c>
      <c r="B11" s="3">
        <f>2+2+2+1</f>
        <v>7</v>
      </c>
      <c r="C11" s="3">
        <f>1+1</f>
        <v>2</v>
      </c>
      <c r="D11" s="3">
        <f t="shared" si="0"/>
        <v>36</v>
      </c>
      <c r="E11" s="3">
        <f t="shared" si="1"/>
        <v>7565</v>
      </c>
      <c r="F11" s="3">
        <f>-100+710-100+800-100</f>
        <v>1210</v>
      </c>
      <c r="G11" s="3">
        <f>650+100+150+150</f>
        <v>1050</v>
      </c>
      <c r="H11" s="3">
        <f t="shared" si="2"/>
        <v>2260</v>
      </c>
      <c r="I11" s="3">
        <f t="shared" si="3"/>
        <v>1690</v>
      </c>
      <c r="J11" s="3">
        <v>0</v>
      </c>
      <c r="K11" s="3">
        <f>50+80</f>
        <v>130</v>
      </c>
      <c r="L11" s="4">
        <f t="shared" si="4"/>
        <v>130</v>
      </c>
    </row>
    <row r="12" spans="1:12" ht="15" customHeight="1" x14ac:dyDescent="0.35">
      <c r="A12" s="2" t="s">
        <v>23</v>
      </c>
      <c r="B12" s="3">
        <f>2+1+1+1</f>
        <v>5</v>
      </c>
      <c r="C12" s="3">
        <v>2</v>
      </c>
      <c r="D12" s="3">
        <f t="shared" si="0"/>
        <v>39</v>
      </c>
      <c r="E12" s="3">
        <f t="shared" si="1"/>
        <v>7295</v>
      </c>
      <c r="F12" s="3">
        <f>-295-345</f>
        <v>-640</v>
      </c>
      <c r="G12" s="3">
        <f>190+80+50+50</f>
        <v>370</v>
      </c>
      <c r="H12" s="3">
        <f t="shared" si="2"/>
        <v>-270</v>
      </c>
      <c r="I12" s="3">
        <f t="shared" si="3"/>
        <v>1325</v>
      </c>
      <c r="J12" s="3">
        <f>-50-290-75+50</f>
        <v>-365</v>
      </c>
      <c r="K12" s="3">
        <v>0</v>
      </c>
      <c r="L12" s="4">
        <f t="shared" si="4"/>
        <v>-365</v>
      </c>
    </row>
    <row r="13" spans="1:12" ht="15" customHeight="1" x14ac:dyDescent="0.35">
      <c r="A13" s="2">
        <v>63</v>
      </c>
      <c r="B13" s="3">
        <v>2</v>
      </c>
      <c r="C13" s="3">
        <v>0</v>
      </c>
      <c r="D13" s="3">
        <f t="shared" si="0"/>
        <v>41</v>
      </c>
      <c r="E13" s="3">
        <f t="shared" si="1"/>
        <v>7265</v>
      </c>
      <c r="F13" s="3">
        <v>-70</v>
      </c>
      <c r="G13" s="3">
        <v>40</v>
      </c>
      <c r="H13" s="3">
        <f t="shared" si="2"/>
        <v>-30</v>
      </c>
      <c r="I13" s="3">
        <f t="shared" si="3"/>
        <v>1225</v>
      </c>
      <c r="J13" s="3">
        <v>-100</v>
      </c>
      <c r="K13" s="3">
        <v>0</v>
      </c>
      <c r="L13" s="4">
        <f t="shared" si="4"/>
        <v>-100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0"/>
        <v>41</v>
      </c>
      <c r="E14" s="3">
        <f t="shared" si="1"/>
        <v>7365</v>
      </c>
      <c r="F14" s="3">
        <v>100</v>
      </c>
      <c r="G14" s="3">
        <v>0</v>
      </c>
      <c r="H14" s="3">
        <f t="shared" si="2"/>
        <v>100</v>
      </c>
      <c r="I14" s="3">
        <f t="shared" si="3"/>
        <v>1225</v>
      </c>
      <c r="J14" s="3">
        <v>0</v>
      </c>
      <c r="K14" s="3">
        <v>0</v>
      </c>
      <c r="L14" s="4">
        <f t="shared" si="4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0"/>
        <v>41</v>
      </c>
      <c r="E15" s="3">
        <f t="shared" si="1"/>
        <v>7380</v>
      </c>
      <c r="F15" s="3">
        <v>15</v>
      </c>
      <c r="G15" s="3">
        <v>0</v>
      </c>
      <c r="H15" s="3">
        <f t="shared" si="2"/>
        <v>15</v>
      </c>
      <c r="I15" s="3">
        <f t="shared" si="3"/>
        <v>1225</v>
      </c>
      <c r="J15" s="3">
        <v>0</v>
      </c>
      <c r="K15" s="3">
        <v>0</v>
      </c>
      <c r="L15" s="4">
        <f t="shared" si="4"/>
        <v>0</v>
      </c>
    </row>
    <row r="16" spans="1:12" ht="15" customHeight="1" x14ac:dyDescent="0.35">
      <c r="A16" s="2">
        <v>3</v>
      </c>
      <c r="B16" s="3">
        <v>3</v>
      </c>
      <c r="C16" s="3">
        <v>0</v>
      </c>
      <c r="D16" s="3">
        <f t="shared" si="0"/>
        <v>44</v>
      </c>
      <c r="E16" s="3">
        <f t="shared" si="1"/>
        <v>7490</v>
      </c>
      <c r="F16" s="3">
        <v>30</v>
      </c>
      <c r="G16" s="3">
        <v>80</v>
      </c>
      <c r="H16" s="3">
        <f t="shared" si="2"/>
        <v>110</v>
      </c>
      <c r="I16" s="3">
        <f t="shared" si="3"/>
        <v>1225</v>
      </c>
      <c r="J16" s="3">
        <v>0</v>
      </c>
      <c r="K16" s="3">
        <v>0</v>
      </c>
      <c r="L16" s="4">
        <f t="shared" si="4"/>
        <v>0</v>
      </c>
    </row>
    <row r="17" spans="1:14" ht="15" customHeight="1" x14ac:dyDescent="0.35">
      <c r="A17" s="2">
        <v>4</v>
      </c>
      <c r="B17" s="3">
        <v>1</v>
      </c>
      <c r="C17" s="3">
        <v>1</v>
      </c>
      <c r="D17" s="3">
        <f t="shared" si="0"/>
        <v>44</v>
      </c>
      <c r="E17" s="3">
        <f t="shared" si="1"/>
        <v>7200</v>
      </c>
      <c r="F17" s="3">
        <v>-390</v>
      </c>
      <c r="G17" s="3">
        <v>100</v>
      </c>
      <c r="H17" s="3">
        <f t="shared" si="2"/>
        <v>-290</v>
      </c>
      <c r="I17" s="3">
        <f t="shared" si="3"/>
        <v>1245</v>
      </c>
      <c r="J17" s="3">
        <v>-30</v>
      </c>
      <c r="K17" s="3">
        <v>50</v>
      </c>
      <c r="L17" s="4">
        <f t="shared" si="4"/>
        <v>20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44</v>
      </c>
      <c r="E18" s="3">
        <f t="shared" si="1"/>
        <v>7155</v>
      </c>
      <c r="F18" s="3">
        <v>-45</v>
      </c>
      <c r="G18" s="3">
        <v>0</v>
      </c>
      <c r="H18" s="3">
        <f t="shared" si="2"/>
        <v>-45</v>
      </c>
      <c r="I18" s="3">
        <f t="shared" si="3"/>
        <v>1295</v>
      </c>
      <c r="J18" s="3">
        <v>50</v>
      </c>
      <c r="K18" s="3">
        <v>0</v>
      </c>
      <c r="L18" s="4">
        <f t="shared" si="4"/>
        <v>50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0"/>
        <v>43</v>
      </c>
      <c r="E19" s="3">
        <f t="shared" si="1"/>
        <v>7005</v>
      </c>
      <c r="F19" s="3">
        <v>-150</v>
      </c>
      <c r="G19" s="3">
        <v>0</v>
      </c>
      <c r="H19" s="3">
        <f t="shared" si="2"/>
        <v>-150</v>
      </c>
      <c r="I19" s="3">
        <f t="shared" si="3"/>
        <v>1295</v>
      </c>
      <c r="J19" s="3">
        <v>0</v>
      </c>
      <c r="K19" s="3">
        <v>0</v>
      </c>
      <c r="L19" s="4">
        <f t="shared" si="4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0"/>
        <v>43</v>
      </c>
      <c r="E20" s="3">
        <f t="shared" si="1"/>
        <v>6950</v>
      </c>
      <c r="F20" s="3">
        <v>-55</v>
      </c>
      <c r="G20" s="3">
        <v>0</v>
      </c>
      <c r="H20" s="3">
        <f t="shared" si="2"/>
        <v>-55</v>
      </c>
      <c r="I20" s="3">
        <f t="shared" si="3"/>
        <v>1245</v>
      </c>
      <c r="J20" s="3">
        <v>-50</v>
      </c>
      <c r="K20" s="3">
        <v>0</v>
      </c>
      <c r="L20" s="4">
        <f t="shared" si="4"/>
        <v>-50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43</v>
      </c>
      <c r="E21" s="3">
        <f t="shared" si="1"/>
        <v>6970</v>
      </c>
      <c r="F21" s="3">
        <v>20</v>
      </c>
      <c r="G21" s="3">
        <v>0</v>
      </c>
      <c r="H21" s="3">
        <f t="shared" si="2"/>
        <v>20</v>
      </c>
      <c r="I21" s="3">
        <f t="shared" si="3"/>
        <v>975</v>
      </c>
      <c r="J21" s="3">
        <v>-270</v>
      </c>
      <c r="K21" s="3">
        <v>0</v>
      </c>
      <c r="L21" s="4">
        <f t="shared" si="4"/>
        <v>-270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0"/>
        <v>43</v>
      </c>
      <c r="E22" s="3">
        <f t="shared" si="1"/>
        <v>7020</v>
      </c>
      <c r="F22" s="3">
        <v>50</v>
      </c>
      <c r="G22" s="3">
        <v>0</v>
      </c>
      <c r="H22" s="3">
        <f t="shared" si="2"/>
        <v>50</v>
      </c>
      <c r="I22" s="3">
        <f t="shared" si="3"/>
        <v>940</v>
      </c>
      <c r="J22" s="3">
        <v>-35</v>
      </c>
      <c r="K22" s="3">
        <v>0</v>
      </c>
      <c r="L22" s="4">
        <f t="shared" si="4"/>
        <v>-35</v>
      </c>
    </row>
    <row r="23" spans="1:14" ht="15" customHeight="1" x14ac:dyDescent="0.35">
      <c r="A23" s="2">
        <v>10</v>
      </c>
      <c r="B23" s="3">
        <v>3</v>
      </c>
      <c r="C23" s="3">
        <v>0</v>
      </c>
      <c r="D23" s="3">
        <f t="shared" si="0"/>
        <v>46</v>
      </c>
      <c r="E23" s="3">
        <f t="shared" si="1"/>
        <v>7130</v>
      </c>
      <c r="F23" s="3">
        <v>-10</v>
      </c>
      <c r="G23" s="3">
        <v>120</v>
      </c>
      <c r="H23" s="3">
        <f t="shared" si="2"/>
        <v>110</v>
      </c>
      <c r="I23" s="3">
        <f t="shared" si="3"/>
        <v>920</v>
      </c>
      <c r="J23" s="3">
        <v>-20</v>
      </c>
      <c r="K23" s="3">
        <v>0</v>
      </c>
      <c r="L23" s="4">
        <f t="shared" si="4"/>
        <v>-20</v>
      </c>
    </row>
    <row r="24" spans="1:14" ht="15" customHeight="1" x14ac:dyDescent="0.35">
      <c r="A24" s="2">
        <v>11</v>
      </c>
      <c r="B24" s="3">
        <v>3</v>
      </c>
      <c r="C24" s="3">
        <v>1</v>
      </c>
      <c r="D24" s="3">
        <f t="shared" si="0"/>
        <v>48</v>
      </c>
      <c r="E24" s="3">
        <f t="shared" si="1"/>
        <v>7185</v>
      </c>
      <c r="F24" s="3">
        <v>-45</v>
      </c>
      <c r="G24" s="3">
        <v>100</v>
      </c>
      <c r="H24" s="3">
        <f t="shared" si="2"/>
        <v>55</v>
      </c>
      <c r="I24" s="3">
        <f t="shared" si="3"/>
        <v>880</v>
      </c>
      <c r="J24" s="3">
        <v>-40</v>
      </c>
      <c r="K24" s="3">
        <v>0</v>
      </c>
      <c r="L24" s="4">
        <f t="shared" si="4"/>
        <v>-40</v>
      </c>
    </row>
    <row r="25" spans="1:14" ht="15" customHeight="1" x14ac:dyDescent="0.35">
      <c r="A25" s="2">
        <v>12</v>
      </c>
      <c r="B25" s="3">
        <v>2</v>
      </c>
      <c r="C25" s="3">
        <v>0</v>
      </c>
      <c r="D25" s="3">
        <f t="shared" si="0"/>
        <v>50</v>
      </c>
      <c r="E25" s="3">
        <f t="shared" si="1"/>
        <v>7285</v>
      </c>
      <c r="F25" s="3">
        <v>20</v>
      </c>
      <c r="G25" s="3">
        <v>80</v>
      </c>
      <c r="H25" s="3">
        <f t="shared" si="2"/>
        <v>100</v>
      </c>
      <c r="I25" s="3">
        <f t="shared" si="3"/>
        <v>880</v>
      </c>
      <c r="J25" s="3">
        <v>0</v>
      </c>
      <c r="K25" s="3">
        <v>0</v>
      </c>
      <c r="L25" s="4">
        <f t="shared" si="4"/>
        <v>0</v>
      </c>
    </row>
    <row r="26" spans="1:14" ht="15" customHeight="1" x14ac:dyDescent="0.35">
      <c r="A26" s="2">
        <v>13</v>
      </c>
      <c r="B26" s="3">
        <v>3</v>
      </c>
      <c r="C26" s="3">
        <v>0</v>
      </c>
      <c r="D26" s="3">
        <f t="shared" si="0"/>
        <v>53</v>
      </c>
      <c r="E26" s="3">
        <f t="shared" si="1"/>
        <v>7345</v>
      </c>
      <c r="F26" s="3">
        <v>-120</v>
      </c>
      <c r="G26" s="3">
        <v>180</v>
      </c>
      <c r="H26" s="3">
        <f t="shared" si="2"/>
        <v>60</v>
      </c>
      <c r="I26" s="3">
        <f t="shared" si="3"/>
        <v>860</v>
      </c>
      <c r="J26" s="3">
        <v>-20</v>
      </c>
      <c r="K26" s="3">
        <v>0</v>
      </c>
      <c r="L26" s="4">
        <f t="shared" si="4"/>
        <v>-20</v>
      </c>
    </row>
    <row r="27" spans="1:14" ht="15" customHeight="1" x14ac:dyDescent="0.35">
      <c r="A27" s="2">
        <v>14</v>
      </c>
      <c r="B27" s="3">
        <v>0</v>
      </c>
      <c r="C27" s="3">
        <v>1</v>
      </c>
      <c r="D27" s="3">
        <f t="shared" si="0"/>
        <v>52</v>
      </c>
      <c r="E27" s="3">
        <f t="shared" si="1"/>
        <v>6940</v>
      </c>
      <c r="F27" s="3">
        <v>-405</v>
      </c>
      <c r="G27" s="3">
        <v>0</v>
      </c>
      <c r="H27" s="3">
        <f t="shared" si="2"/>
        <v>-405</v>
      </c>
      <c r="I27" s="3">
        <f t="shared" si="3"/>
        <v>850</v>
      </c>
      <c r="J27" s="3">
        <v>-10</v>
      </c>
      <c r="K27" s="3">
        <v>0</v>
      </c>
      <c r="L27" s="4">
        <f t="shared" si="4"/>
        <v>-10</v>
      </c>
    </row>
    <row r="28" spans="1:14" ht="15" customHeight="1" x14ac:dyDescent="0.35">
      <c r="A28" s="2">
        <v>15</v>
      </c>
      <c r="B28" s="3">
        <v>2</v>
      </c>
      <c r="C28" s="3">
        <v>1</v>
      </c>
      <c r="D28" s="3">
        <f t="shared" si="0"/>
        <v>53</v>
      </c>
      <c r="E28" s="3">
        <f t="shared" si="1"/>
        <v>6685</v>
      </c>
      <c r="F28" s="3">
        <v>-293</v>
      </c>
      <c r="G28" s="3">
        <v>38</v>
      </c>
      <c r="H28" s="3">
        <f t="shared" si="2"/>
        <v>-255</v>
      </c>
      <c r="I28" s="3">
        <f t="shared" si="3"/>
        <v>835</v>
      </c>
      <c r="J28" s="3">
        <v>-15</v>
      </c>
      <c r="K28" s="3">
        <v>0</v>
      </c>
      <c r="L28" s="4">
        <f t="shared" si="4"/>
        <v>-15</v>
      </c>
    </row>
    <row r="29" spans="1:14" ht="15" customHeight="1" x14ac:dyDescent="0.35">
      <c r="A29" s="2">
        <v>16</v>
      </c>
      <c r="B29" s="3">
        <v>1</v>
      </c>
      <c r="C29" s="3">
        <v>1</v>
      </c>
      <c r="D29" s="3">
        <f t="shared" si="0"/>
        <v>53</v>
      </c>
      <c r="E29" s="3">
        <f t="shared" si="1"/>
        <v>6693</v>
      </c>
      <c r="F29" s="3">
        <v>-32</v>
      </c>
      <c r="G29" s="3">
        <v>40</v>
      </c>
      <c r="H29" s="3">
        <f t="shared" si="2"/>
        <v>8</v>
      </c>
      <c r="I29" s="3">
        <f t="shared" si="3"/>
        <v>835</v>
      </c>
      <c r="J29" s="3">
        <v>0</v>
      </c>
      <c r="K29" s="3">
        <v>0</v>
      </c>
      <c r="L29" s="4">
        <f t="shared" si="4"/>
        <v>0</v>
      </c>
    </row>
    <row r="30" spans="1:14" ht="15" customHeight="1" x14ac:dyDescent="0.35">
      <c r="A30" s="2">
        <v>17</v>
      </c>
      <c r="B30" s="3">
        <v>2</v>
      </c>
      <c r="C30" s="3">
        <v>0</v>
      </c>
      <c r="D30" s="3">
        <f t="shared" si="0"/>
        <v>55</v>
      </c>
      <c r="E30" s="3">
        <f t="shared" si="1"/>
        <v>6753</v>
      </c>
      <c r="F30" s="3">
        <f>-30+10</f>
        <v>-20</v>
      </c>
      <c r="G30" s="3">
        <v>80</v>
      </c>
      <c r="H30" s="3">
        <f t="shared" si="2"/>
        <v>60</v>
      </c>
      <c r="I30" s="3">
        <f t="shared" si="3"/>
        <v>835</v>
      </c>
      <c r="J30" s="3">
        <v>0</v>
      </c>
      <c r="K30" s="3">
        <v>0</v>
      </c>
      <c r="L30" s="4">
        <f t="shared" si="4"/>
        <v>0</v>
      </c>
    </row>
    <row r="31" spans="1:14" ht="15" customHeight="1" x14ac:dyDescent="0.35">
      <c r="A31" s="2">
        <v>18</v>
      </c>
      <c r="B31" s="3">
        <v>1</v>
      </c>
      <c r="C31" s="3">
        <v>2</v>
      </c>
      <c r="D31" s="3">
        <f t="shared" si="0"/>
        <v>54</v>
      </c>
      <c r="E31" s="3">
        <f t="shared" si="1"/>
        <v>6303</v>
      </c>
      <c r="F31" s="3">
        <v>-490</v>
      </c>
      <c r="G31" s="3">
        <v>40</v>
      </c>
      <c r="H31" s="3">
        <f t="shared" si="2"/>
        <v>-450</v>
      </c>
      <c r="I31" s="3">
        <f t="shared" si="3"/>
        <v>635</v>
      </c>
      <c r="J31" s="3">
        <v>-200</v>
      </c>
      <c r="K31" s="3">
        <v>0</v>
      </c>
      <c r="L31" s="4">
        <f t="shared" si="4"/>
        <v>-200</v>
      </c>
    </row>
    <row r="32" spans="1:14" ht="15" customHeight="1" x14ac:dyDescent="0.35">
      <c r="A32" s="2">
        <v>19</v>
      </c>
      <c r="B32" s="3">
        <v>1</v>
      </c>
      <c r="C32" s="3">
        <v>1</v>
      </c>
      <c r="D32" s="3">
        <f t="shared" si="0"/>
        <v>54</v>
      </c>
      <c r="E32" s="3">
        <f t="shared" si="1"/>
        <v>5788</v>
      </c>
      <c r="F32" s="3">
        <f>-360-60-20-35-70-40</f>
        <v>-585</v>
      </c>
      <c r="G32" s="3">
        <v>70</v>
      </c>
      <c r="H32" s="3">
        <f t="shared" si="2"/>
        <v>-515</v>
      </c>
      <c r="I32" s="3">
        <f t="shared" si="3"/>
        <v>540</v>
      </c>
      <c r="J32" s="3">
        <f>-35-60</f>
        <v>-95</v>
      </c>
      <c r="K32" s="3">
        <v>0</v>
      </c>
      <c r="L32" s="4">
        <f t="shared" si="4"/>
        <v>-95</v>
      </c>
      <c r="N32" s="32">
        <f t="shared" ref="N32:N41" si="5">E32+I32</f>
        <v>6328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0"/>
        <v>54</v>
      </c>
      <c r="E33" s="3">
        <f t="shared" si="1"/>
        <v>5672</v>
      </c>
      <c r="F33" s="3">
        <v>-116</v>
      </c>
      <c r="G33" s="3"/>
      <c r="H33" s="3">
        <f t="shared" si="2"/>
        <v>-116</v>
      </c>
      <c r="I33" s="3">
        <f t="shared" si="3"/>
        <v>490</v>
      </c>
      <c r="J33" s="3">
        <v>-50</v>
      </c>
      <c r="K33" s="3">
        <v>0</v>
      </c>
      <c r="L33" s="4">
        <f t="shared" si="4"/>
        <v>-50</v>
      </c>
      <c r="N33" s="32">
        <f t="shared" si="5"/>
        <v>6162</v>
      </c>
    </row>
    <row r="34" spans="1:14" ht="15" customHeight="1" x14ac:dyDescent="0.35">
      <c r="A34" s="2">
        <v>21</v>
      </c>
      <c r="B34" s="3">
        <v>1</v>
      </c>
      <c r="C34" s="3">
        <v>0</v>
      </c>
      <c r="D34" s="3">
        <f t="shared" si="0"/>
        <v>55</v>
      </c>
      <c r="E34" s="3">
        <f t="shared" si="1"/>
        <v>5310</v>
      </c>
      <c r="F34" s="3">
        <v>-402</v>
      </c>
      <c r="G34" s="3">
        <v>40</v>
      </c>
      <c r="H34" s="3">
        <f t="shared" si="2"/>
        <v>-362</v>
      </c>
      <c r="I34" s="3">
        <f t="shared" si="3"/>
        <v>440</v>
      </c>
      <c r="J34" s="3">
        <v>-50</v>
      </c>
      <c r="K34" s="3">
        <v>0</v>
      </c>
      <c r="L34" s="4">
        <f t="shared" si="4"/>
        <v>-50</v>
      </c>
      <c r="N34" s="32">
        <f t="shared" si="5"/>
        <v>5750</v>
      </c>
    </row>
    <row r="35" spans="1:14" ht="15" customHeight="1" x14ac:dyDescent="0.35">
      <c r="A35" s="2">
        <v>22</v>
      </c>
      <c r="B35" s="3">
        <v>1</v>
      </c>
      <c r="C35" s="3">
        <v>2</v>
      </c>
      <c r="D35" s="3">
        <f t="shared" si="0"/>
        <v>54</v>
      </c>
      <c r="E35" s="3">
        <f t="shared" si="1"/>
        <v>4990</v>
      </c>
      <c r="F35" s="3">
        <v>-350</v>
      </c>
      <c r="G35" s="3">
        <v>30</v>
      </c>
      <c r="H35" s="3">
        <f t="shared" si="2"/>
        <v>-320</v>
      </c>
      <c r="I35" s="3">
        <f t="shared" si="3"/>
        <v>440</v>
      </c>
      <c r="J35" s="3">
        <v>0</v>
      </c>
      <c r="K35" s="3">
        <v>0</v>
      </c>
      <c r="L35" s="4">
        <f t="shared" si="4"/>
        <v>0</v>
      </c>
      <c r="N35" s="32">
        <f t="shared" si="5"/>
        <v>5430</v>
      </c>
    </row>
    <row r="36" spans="1:14" ht="15" customHeight="1" x14ac:dyDescent="0.35">
      <c r="A36" s="2">
        <v>23</v>
      </c>
      <c r="B36" s="3">
        <v>0</v>
      </c>
      <c r="C36" s="3">
        <v>2</v>
      </c>
      <c r="D36" s="3">
        <f t="shared" si="0"/>
        <v>52</v>
      </c>
      <c r="E36" s="3">
        <f t="shared" si="1"/>
        <v>4796</v>
      </c>
      <c r="F36" s="3">
        <f>-185+111+40-30-40-20-50-40+20</f>
        <v>-194</v>
      </c>
      <c r="G36" s="3">
        <v>0</v>
      </c>
      <c r="H36" s="3">
        <f t="shared" si="2"/>
        <v>-194</v>
      </c>
      <c r="I36" s="3">
        <f t="shared" si="3"/>
        <v>440</v>
      </c>
      <c r="J36" s="3">
        <v>0</v>
      </c>
      <c r="K36" s="3">
        <v>0</v>
      </c>
      <c r="L36" s="4">
        <f t="shared" si="4"/>
        <v>0</v>
      </c>
      <c r="N36" s="32">
        <f t="shared" si="5"/>
        <v>5236</v>
      </c>
    </row>
    <row r="37" spans="1:14" ht="15" customHeight="1" x14ac:dyDescent="0.35">
      <c r="A37" s="2">
        <v>24</v>
      </c>
      <c r="B37" s="3">
        <v>2</v>
      </c>
      <c r="C37" s="3">
        <v>1</v>
      </c>
      <c r="D37" s="3">
        <f t="shared" si="0"/>
        <v>53</v>
      </c>
      <c r="E37" s="3">
        <f t="shared" si="1"/>
        <v>4922</v>
      </c>
      <c r="F37" s="3">
        <f>-50-10+42+24</f>
        <v>6</v>
      </c>
      <c r="G37" s="3">
        <f>40+80</f>
        <v>120</v>
      </c>
      <c r="H37" s="3">
        <f t="shared" si="2"/>
        <v>126</v>
      </c>
      <c r="I37" s="3">
        <f t="shared" si="3"/>
        <v>420</v>
      </c>
      <c r="J37" s="3">
        <v>-20</v>
      </c>
      <c r="K37" s="3">
        <v>0</v>
      </c>
      <c r="L37" s="4">
        <f t="shared" si="4"/>
        <v>-20</v>
      </c>
      <c r="N37" s="32">
        <f>E37+I37</f>
        <v>5342</v>
      </c>
    </row>
    <row r="38" spans="1:14" ht="15" customHeight="1" x14ac:dyDescent="0.35">
      <c r="A38" s="2">
        <v>25</v>
      </c>
      <c r="B38" s="3">
        <v>1</v>
      </c>
      <c r="C38" s="3">
        <v>2</v>
      </c>
      <c r="D38" s="3">
        <f t="shared" si="0"/>
        <v>52</v>
      </c>
      <c r="E38" s="3">
        <f t="shared" si="1"/>
        <v>5016</v>
      </c>
      <c r="F38" s="3">
        <f>-40+80+40+40-40+26-40-40-8+40</f>
        <v>58</v>
      </c>
      <c r="G38" s="3">
        <v>36</v>
      </c>
      <c r="H38" s="3">
        <f t="shared" si="2"/>
        <v>94</v>
      </c>
      <c r="I38" s="3">
        <f t="shared" si="3"/>
        <v>300</v>
      </c>
      <c r="J38" s="3">
        <v>-120</v>
      </c>
      <c r="K38" s="3">
        <v>0</v>
      </c>
      <c r="L38" s="4">
        <f t="shared" si="4"/>
        <v>-120</v>
      </c>
      <c r="N38" s="32">
        <f>E38+I38</f>
        <v>5316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0"/>
        <v>51</v>
      </c>
      <c r="E39" s="3">
        <f t="shared" si="1"/>
        <v>5016</v>
      </c>
      <c r="F39" s="3">
        <v>0</v>
      </c>
      <c r="G39" s="3">
        <v>0</v>
      </c>
      <c r="H39" s="3">
        <f t="shared" si="2"/>
        <v>0</v>
      </c>
      <c r="I39" s="3">
        <f t="shared" si="3"/>
        <v>300</v>
      </c>
      <c r="J39" s="3">
        <v>0</v>
      </c>
      <c r="K39" s="3">
        <v>0</v>
      </c>
      <c r="L39" s="4">
        <f t="shared" si="4"/>
        <v>0</v>
      </c>
      <c r="N39" s="32">
        <f t="shared" si="5"/>
        <v>5316</v>
      </c>
    </row>
    <row r="40" spans="1:14" ht="15" customHeight="1" x14ac:dyDescent="0.35">
      <c r="A40" s="2">
        <v>27</v>
      </c>
      <c r="B40" s="3">
        <v>1</v>
      </c>
      <c r="C40" s="3">
        <v>0</v>
      </c>
      <c r="D40" s="3">
        <f t="shared" si="0"/>
        <v>52</v>
      </c>
      <c r="E40" s="3">
        <f t="shared" si="1"/>
        <v>5070</v>
      </c>
      <c r="F40" s="3">
        <v>14</v>
      </c>
      <c r="G40" s="3">
        <v>40</v>
      </c>
      <c r="H40" s="3">
        <f t="shared" si="2"/>
        <v>54</v>
      </c>
      <c r="I40" s="3">
        <f t="shared" si="3"/>
        <v>265</v>
      </c>
      <c r="J40" s="3">
        <v>-35</v>
      </c>
      <c r="K40" s="3">
        <v>0</v>
      </c>
      <c r="L40" s="4">
        <f t="shared" si="4"/>
        <v>-35</v>
      </c>
      <c r="N40" s="32">
        <f t="shared" si="5"/>
        <v>5335</v>
      </c>
    </row>
    <row r="41" spans="1:14" ht="15" customHeight="1" x14ac:dyDescent="0.35">
      <c r="A41" s="2">
        <v>28</v>
      </c>
      <c r="B41" s="3">
        <v>1</v>
      </c>
      <c r="C41" s="3">
        <v>0</v>
      </c>
      <c r="D41" s="3">
        <f t="shared" ref="D41:D46" si="6">D40+B41-C41</f>
        <v>53</v>
      </c>
      <c r="E41" s="3">
        <f t="shared" ref="E41:E46" si="7">E40+F41+G41</f>
        <v>5025</v>
      </c>
      <c r="F41" s="3">
        <f>-30+30-80+40-20+20-20-10-20-20-5</f>
        <v>-115</v>
      </c>
      <c r="G41" s="3">
        <f>30+40</f>
        <v>70</v>
      </c>
      <c r="H41" s="3">
        <f t="shared" ref="H41:H46" si="8">SUM(F41:G41)</f>
        <v>-45</v>
      </c>
      <c r="I41" s="3">
        <f t="shared" ref="I41:I46" si="9">I40+J41+K41</f>
        <v>280</v>
      </c>
      <c r="J41" s="3">
        <f>20-5</f>
        <v>15</v>
      </c>
      <c r="K41" s="3">
        <v>0</v>
      </c>
      <c r="L41" s="4">
        <f t="shared" si="4"/>
        <v>15</v>
      </c>
      <c r="N41" s="32">
        <f t="shared" si="5"/>
        <v>5305</v>
      </c>
    </row>
    <row r="42" spans="1:14" ht="15" customHeight="1" x14ac:dyDescent="0.35">
      <c r="A42" s="2">
        <v>29</v>
      </c>
      <c r="B42" s="3">
        <v>2</v>
      </c>
      <c r="C42" s="3">
        <v>0</v>
      </c>
      <c r="D42" s="3">
        <f t="shared" si="6"/>
        <v>55</v>
      </c>
      <c r="E42" s="3">
        <f t="shared" si="7"/>
        <v>5001</v>
      </c>
      <c r="F42" s="3">
        <f>-30-160+80+56-20-10</f>
        <v>-84</v>
      </c>
      <c r="G42" s="3">
        <f>30+30</f>
        <v>60</v>
      </c>
      <c r="H42" s="3">
        <f t="shared" si="8"/>
        <v>-24</v>
      </c>
      <c r="I42" s="3">
        <f t="shared" si="9"/>
        <v>260</v>
      </c>
      <c r="J42" s="3">
        <v>-20</v>
      </c>
      <c r="K42" s="3">
        <v>0</v>
      </c>
      <c r="L42" s="4">
        <f t="shared" ref="L42" si="10">SUM(J42:K42)</f>
        <v>-20</v>
      </c>
      <c r="N42" s="32">
        <f t="shared" ref="N42" si="11">E42+I42</f>
        <v>5261</v>
      </c>
    </row>
    <row r="43" spans="1:14" ht="15" customHeight="1" x14ac:dyDescent="0.35">
      <c r="A43" s="2">
        <v>30</v>
      </c>
      <c r="B43" s="3">
        <v>4</v>
      </c>
      <c r="C43" s="3">
        <v>0</v>
      </c>
      <c r="D43" s="3">
        <f t="shared" si="6"/>
        <v>59</v>
      </c>
      <c r="E43" s="3">
        <f t="shared" si="7"/>
        <v>5141</v>
      </c>
      <c r="F43" s="3">
        <f>30+30-40+40-40-25</f>
        <v>-5</v>
      </c>
      <c r="G43" s="3">
        <f>35+40+40+30</f>
        <v>145</v>
      </c>
      <c r="H43" s="3">
        <f t="shared" si="8"/>
        <v>140</v>
      </c>
      <c r="I43" s="3">
        <f t="shared" si="9"/>
        <v>260</v>
      </c>
      <c r="J43" s="3">
        <f>-20+20</f>
        <v>0</v>
      </c>
      <c r="K43" s="3">
        <v>0</v>
      </c>
      <c r="L43" s="4">
        <f t="shared" ref="L43" si="12">SUM(J43:K43)</f>
        <v>0</v>
      </c>
      <c r="N43" s="32">
        <f t="shared" ref="N43:N44" si="13">E43+I43</f>
        <v>5401</v>
      </c>
    </row>
    <row r="44" spans="1:14" ht="15" customHeight="1" x14ac:dyDescent="0.35">
      <c r="A44" s="2">
        <v>31</v>
      </c>
      <c r="B44" s="3">
        <v>0</v>
      </c>
      <c r="C44" s="3">
        <v>0</v>
      </c>
      <c r="D44" s="3">
        <f t="shared" si="6"/>
        <v>59</v>
      </c>
      <c r="E44" s="3">
        <f t="shared" si="7"/>
        <v>5071</v>
      </c>
      <c r="F44" s="3">
        <f>-10-40+20-40</f>
        <v>-70</v>
      </c>
      <c r="G44" s="3">
        <v>0</v>
      </c>
      <c r="H44" s="3">
        <f t="shared" si="8"/>
        <v>-70</v>
      </c>
      <c r="I44" s="3">
        <f t="shared" si="9"/>
        <v>220</v>
      </c>
      <c r="J44" s="3">
        <f>-20-20</f>
        <v>-40</v>
      </c>
      <c r="K44" s="3">
        <v>0</v>
      </c>
      <c r="L44" s="4">
        <f t="shared" ref="L44" si="14">SUM(J44:K44)</f>
        <v>-40</v>
      </c>
      <c r="N44" s="32">
        <f t="shared" si="13"/>
        <v>5291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si="6"/>
        <v>59</v>
      </c>
      <c r="E45" s="3">
        <f t="shared" si="7"/>
        <v>5001</v>
      </c>
      <c r="F45" s="3">
        <f>-30-20-30+30-20</f>
        <v>-70</v>
      </c>
      <c r="G45" s="3">
        <v>0</v>
      </c>
      <c r="H45" s="3">
        <f t="shared" si="8"/>
        <v>-70</v>
      </c>
      <c r="I45" s="3">
        <f t="shared" si="9"/>
        <v>240</v>
      </c>
      <c r="J45" s="3">
        <f>20</f>
        <v>20</v>
      </c>
      <c r="K45" s="3">
        <v>0</v>
      </c>
      <c r="L45" s="4">
        <f t="shared" ref="L45" si="15">SUM(J45:K45)</f>
        <v>20</v>
      </c>
      <c r="N45" s="32">
        <f t="shared" ref="N45" si="16">E45+I45</f>
        <v>5241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6"/>
        <v>58</v>
      </c>
      <c r="E46" s="3">
        <f t="shared" si="7"/>
        <v>4601</v>
      </c>
      <c r="F46" s="3">
        <f>-240-40-40-40-10-30</f>
        <v>-400</v>
      </c>
      <c r="G46" s="3">
        <v>0</v>
      </c>
      <c r="H46" s="3">
        <f t="shared" si="8"/>
        <v>-400</v>
      </c>
      <c r="I46" s="3">
        <f t="shared" si="9"/>
        <v>180</v>
      </c>
      <c r="J46" s="3">
        <f>-20-30-10</f>
        <v>-60</v>
      </c>
      <c r="K46" s="3">
        <v>0</v>
      </c>
      <c r="L46" s="4">
        <f t="shared" ref="L46" si="17">SUM(J46:K46)</f>
        <v>-60</v>
      </c>
      <c r="N46" s="32">
        <f t="shared" ref="N46:N47" si="18">E46+I46</f>
        <v>4781</v>
      </c>
    </row>
    <row r="47" spans="1:14" ht="15" customHeight="1" x14ac:dyDescent="0.35">
      <c r="A47" s="2">
        <v>4</v>
      </c>
      <c r="B47" s="3">
        <v>1</v>
      </c>
      <c r="C47" s="3">
        <v>2</v>
      </c>
      <c r="D47" s="3">
        <f t="shared" ref="D47" si="19">D46+B47-C47</f>
        <v>57</v>
      </c>
      <c r="E47" s="3">
        <f t="shared" ref="E47" si="20">E46+F47+G47</f>
        <v>4392</v>
      </c>
      <c r="F47" s="3">
        <f>-40-40-80-40-40-20+36-10-5</f>
        <v>-239</v>
      </c>
      <c r="G47" s="3">
        <v>30</v>
      </c>
      <c r="H47" s="3">
        <f t="shared" ref="H47" si="21">SUM(F47:G47)</f>
        <v>-209</v>
      </c>
      <c r="I47" s="3">
        <f t="shared" ref="I47" si="22">I46+J47+K47</f>
        <v>160</v>
      </c>
      <c r="J47" s="3">
        <f>-40+20</f>
        <v>-20</v>
      </c>
      <c r="K47" s="3">
        <v>0</v>
      </c>
      <c r="L47" s="4">
        <f t="shared" ref="L47" si="23">SUM(J47:K47)</f>
        <v>-20</v>
      </c>
      <c r="N47" s="32">
        <f t="shared" si="18"/>
        <v>4552</v>
      </c>
    </row>
    <row r="48" spans="1:14" ht="15" customHeight="1" x14ac:dyDescent="0.35">
      <c r="A48" s="2">
        <v>5</v>
      </c>
      <c r="B48" s="3">
        <v>0</v>
      </c>
      <c r="C48" s="3">
        <v>1</v>
      </c>
      <c r="D48" s="3">
        <f t="shared" ref="D48" si="24">D47+B48-C48</f>
        <v>56</v>
      </c>
      <c r="E48" s="3">
        <f t="shared" ref="E48" si="25">E47+F48+G48</f>
        <v>4372</v>
      </c>
      <c r="F48" s="3">
        <f>-40-20-30+30+40+40-40</f>
        <v>-20</v>
      </c>
      <c r="G48" s="3">
        <v>0</v>
      </c>
      <c r="H48" s="3">
        <f t="shared" ref="H48" si="26">SUM(F48:G48)</f>
        <v>-20</v>
      </c>
      <c r="I48" s="3">
        <f t="shared" ref="I48" si="27">I47+J48+K48</f>
        <v>160</v>
      </c>
      <c r="J48" s="3">
        <v>0</v>
      </c>
      <c r="K48" s="3">
        <v>0</v>
      </c>
      <c r="L48" s="4">
        <f t="shared" ref="L48" si="28">SUM(J48:K48)</f>
        <v>0</v>
      </c>
      <c r="N48" s="32">
        <f t="shared" ref="N48:N49" si="29">E48+I48</f>
        <v>4532</v>
      </c>
    </row>
    <row r="49" spans="1:14" ht="15" customHeight="1" x14ac:dyDescent="0.35">
      <c r="A49" s="2">
        <v>6</v>
      </c>
      <c r="B49" s="3">
        <v>0</v>
      </c>
      <c r="C49" s="3">
        <v>1</v>
      </c>
      <c r="D49" s="3">
        <f t="shared" ref="D49" si="30">D48+B49-C49</f>
        <v>55</v>
      </c>
      <c r="E49" s="3">
        <f>E48+F49+G49</f>
        <v>4152</v>
      </c>
      <c r="F49" s="3">
        <f>-120-40-40-15-5</f>
        <v>-220</v>
      </c>
      <c r="G49" s="3">
        <v>0</v>
      </c>
      <c r="H49" s="3">
        <f>SUM(F49:G49)</f>
        <v>-220</v>
      </c>
      <c r="I49" s="3">
        <f>I48+J49+K49</f>
        <v>140</v>
      </c>
      <c r="J49" s="3">
        <f>-20</f>
        <v>-20</v>
      </c>
      <c r="K49" s="3">
        <v>0</v>
      </c>
      <c r="L49" s="4">
        <f>SUM(J49:K49)</f>
        <v>-20</v>
      </c>
      <c r="N49" s="32">
        <f t="shared" si="29"/>
        <v>4292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 t="shared" ref="D50" si="31">D49+B50-C50</f>
        <v>54</v>
      </c>
      <c r="E50" s="6">
        <f>E49+F50+G50</f>
        <v>4117</v>
      </c>
      <c r="F50" s="6">
        <f>-25-10</f>
        <v>-35</v>
      </c>
      <c r="G50" s="6">
        <v>0</v>
      </c>
      <c r="H50" s="6">
        <f>SUM(F50:G50)</f>
        <v>-35</v>
      </c>
      <c r="I50" s="6">
        <f>I49+J50+K50</f>
        <v>140</v>
      </c>
      <c r="J50" s="6">
        <v>0</v>
      </c>
      <c r="K50" s="6">
        <v>0</v>
      </c>
      <c r="L50" s="12">
        <f>SUM(J50:K50)</f>
        <v>0</v>
      </c>
      <c r="N50" s="32">
        <f t="shared" ref="N50" si="32">E50+I50</f>
        <v>4257</v>
      </c>
    </row>
    <row r="51" spans="1:14" ht="19.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9.5" customHeight="1" x14ac:dyDescent="0.35">
      <c r="D52" s="7"/>
      <c r="F52" s="35"/>
      <c r="G52" s="7"/>
      <c r="I52" s="7"/>
      <c r="J52" s="7"/>
      <c r="K52" s="36"/>
    </row>
    <row r="53" spans="1:14" ht="19.5" customHeight="1" x14ac:dyDescent="0.35">
      <c r="D53" s="7"/>
      <c r="F53" s="7"/>
      <c r="G53" s="7"/>
      <c r="I53" s="7"/>
      <c r="J53" s="7"/>
      <c r="K53" s="36"/>
    </row>
    <row r="54" spans="1:14" ht="19.5" customHeight="1" x14ac:dyDescent="0.35">
      <c r="D54" s="7"/>
      <c r="F54" s="7"/>
      <c r="G54" s="7"/>
      <c r="I54" s="7"/>
      <c r="J54" s="7"/>
      <c r="K54" s="36"/>
    </row>
    <row r="55" spans="1:14" ht="19.5" customHeight="1" x14ac:dyDescent="0.35">
      <c r="D55" s="7"/>
      <c r="F55" s="7"/>
      <c r="G55" s="7"/>
      <c r="I55" s="7"/>
      <c r="J55" s="7"/>
      <c r="K55" s="36"/>
    </row>
    <row r="56" spans="1:14" ht="19.5" customHeight="1" x14ac:dyDescent="0.35">
      <c r="D56" s="7"/>
      <c r="F56" s="7"/>
      <c r="G56" s="7"/>
      <c r="I56" s="7"/>
      <c r="J56" s="7"/>
      <c r="K56" s="36"/>
    </row>
    <row r="57" spans="1:14" ht="19.5" customHeight="1" x14ac:dyDescent="0.35">
      <c r="D57" s="7"/>
      <c r="F57" s="7"/>
      <c r="G57" s="7"/>
      <c r="I57" s="7"/>
      <c r="J57" s="7"/>
      <c r="K57" s="36"/>
    </row>
    <row r="58" spans="1:14" ht="19.5" customHeight="1" x14ac:dyDescent="0.35">
      <c r="D58" s="7"/>
      <c r="F58" s="7"/>
      <c r="G58" s="7"/>
      <c r="I58" s="7"/>
      <c r="J58" s="7"/>
      <c r="K58" s="36"/>
    </row>
    <row r="59" spans="1:14" ht="19.5" customHeight="1" x14ac:dyDescent="0.35">
      <c r="D59" s="7"/>
      <c r="F59" s="7"/>
      <c r="G59" s="7"/>
      <c r="I59" s="7"/>
      <c r="J59" s="7"/>
      <c r="K59" s="36"/>
    </row>
    <row r="60" spans="1:14" ht="19.5" customHeight="1" x14ac:dyDescent="0.35">
      <c r="D60" s="7"/>
      <c r="F60" s="7"/>
      <c r="G60" s="7"/>
      <c r="I60" s="7"/>
      <c r="J60" s="7"/>
      <c r="K60" s="36"/>
    </row>
    <row r="61" spans="1:14" ht="19.5" customHeight="1" x14ac:dyDescent="0.35">
      <c r="D61" s="7"/>
      <c r="F61" s="7"/>
      <c r="G61" s="7"/>
      <c r="I61" s="7"/>
      <c r="J61" s="7"/>
      <c r="K61" s="36"/>
    </row>
    <row r="62" spans="1:14" ht="19.5" customHeight="1" x14ac:dyDescent="0.35">
      <c r="D62" s="7"/>
      <c r="F62" s="7"/>
      <c r="G62" s="7"/>
      <c r="I62" s="7"/>
      <c r="J62" s="7"/>
      <c r="K62" s="36"/>
    </row>
    <row r="63" spans="1:14" ht="19.5" customHeight="1" x14ac:dyDescent="0.35">
      <c r="D63" s="7"/>
      <c r="F63" s="7"/>
      <c r="G63" s="7"/>
      <c r="I63" s="7"/>
      <c r="J63" s="7"/>
      <c r="K63" s="36"/>
    </row>
    <row r="64" spans="1:14" ht="19.5" customHeight="1" x14ac:dyDescent="0.35">
      <c r="D64" s="7"/>
      <c r="F64" s="7"/>
      <c r="G64" s="7"/>
      <c r="I64" s="7"/>
      <c r="J64" s="7"/>
      <c r="K64" s="36"/>
    </row>
    <row r="65" spans="4:11" ht="19.5" customHeight="1" x14ac:dyDescent="0.35">
      <c r="D65" s="7"/>
      <c r="F65" s="7"/>
      <c r="G65" s="7"/>
      <c r="I65" s="7"/>
      <c r="J65" s="7"/>
      <c r="K65" s="36"/>
    </row>
    <row r="66" spans="4:11" ht="19.5" customHeight="1" x14ac:dyDescent="0.35">
      <c r="D66" s="7"/>
      <c r="F66" s="7"/>
      <c r="G66" s="7"/>
      <c r="I66" s="7"/>
      <c r="J66" s="7"/>
      <c r="K66" s="36"/>
    </row>
    <row r="67" spans="4:11" ht="19.5" customHeight="1" x14ac:dyDescent="0.35">
      <c r="D67" s="7"/>
      <c r="F67" s="7"/>
      <c r="G67" s="7"/>
      <c r="I67" s="7"/>
      <c r="J67" s="7"/>
      <c r="K67" s="36"/>
    </row>
    <row r="68" spans="4:11" ht="19.5" customHeight="1" x14ac:dyDescent="0.35">
      <c r="D68" s="7"/>
      <c r="F68" s="7"/>
      <c r="G68" s="7"/>
      <c r="I68" s="7"/>
      <c r="J68" s="7"/>
      <c r="K68" s="36"/>
    </row>
    <row r="69" spans="4:11" ht="19.5" customHeight="1" x14ac:dyDescent="0.35">
      <c r="D69" s="7"/>
      <c r="F69" s="7"/>
      <c r="G69" s="7"/>
      <c r="I69" s="7"/>
      <c r="J69" s="7"/>
      <c r="K69" s="36"/>
    </row>
    <row r="70" spans="4:11" ht="19.5" customHeight="1" x14ac:dyDescent="0.35">
      <c r="D70" s="7"/>
      <c r="F70" s="7"/>
      <c r="G70" s="7"/>
      <c r="I70" s="7"/>
      <c r="J70" s="7"/>
      <c r="K70" s="36"/>
    </row>
    <row r="71" spans="4:11" ht="19.5" customHeight="1" x14ac:dyDescent="0.35">
      <c r="D71" s="7"/>
      <c r="F71" s="7"/>
      <c r="G71" s="7"/>
      <c r="I71" s="7"/>
      <c r="J71" s="7"/>
      <c r="K71" s="36"/>
    </row>
    <row r="72" spans="4:11" ht="19.5" customHeight="1" x14ac:dyDescent="0.35">
      <c r="D72" s="7"/>
      <c r="F72" s="7"/>
      <c r="G72" s="7"/>
      <c r="I72" s="7"/>
      <c r="J72" s="7"/>
      <c r="K72" s="36"/>
    </row>
    <row r="73" spans="4:11" ht="19.5" customHeight="1" x14ac:dyDescent="0.35">
      <c r="D73" s="7"/>
      <c r="F73" s="7"/>
      <c r="G73" s="7"/>
      <c r="I73" s="7"/>
      <c r="J73" s="7"/>
      <c r="K73" s="36"/>
    </row>
    <row r="74" spans="4:11" ht="19.5" customHeight="1" x14ac:dyDescent="0.35">
      <c r="D74" s="7"/>
      <c r="F74" s="7"/>
      <c r="G74" s="7"/>
      <c r="I74" s="7"/>
      <c r="J74" s="7"/>
      <c r="K74" s="36"/>
    </row>
    <row r="75" spans="4:11" ht="19.5" customHeight="1" x14ac:dyDescent="0.35">
      <c r="D75" s="7"/>
      <c r="F75" s="7"/>
      <c r="G75" s="7"/>
      <c r="I75" s="7"/>
      <c r="J75" s="7"/>
      <c r="K75" s="36"/>
    </row>
    <row r="76" spans="4:11" ht="19.5" customHeight="1" x14ac:dyDescent="0.35">
      <c r="D76" s="7"/>
      <c r="F76" s="7"/>
      <c r="G76" s="7"/>
      <c r="I76" s="7"/>
      <c r="J76" s="7"/>
      <c r="K76" s="36"/>
    </row>
    <row r="77" spans="4:11" ht="19.5" customHeight="1" x14ac:dyDescent="0.35">
      <c r="D77" s="7"/>
      <c r="F77" s="7"/>
      <c r="G77" s="7"/>
      <c r="I77" s="7"/>
      <c r="J77" s="7"/>
      <c r="K77" s="36"/>
    </row>
    <row r="78" spans="4:11" ht="19.5" customHeight="1" x14ac:dyDescent="0.35">
      <c r="D78" s="7"/>
      <c r="F78" s="7"/>
      <c r="G78" s="7"/>
      <c r="I78" s="7"/>
      <c r="J78" s="7"/>
      <c r="K78" s="36"/>
    </row>
    <row r="79" spans="4:11" ht="19.5" customHeight="1" x14ac:dyDescent="0.35">
      <c r="D79" s="7"/>
      <c r="F79" s="7"/>
      <c r="G79" s="7"/>
      <c r="I79" s="7"/>
      <c r="J79" s="7"/>
      <c r="K79" s="36"/>
    </row>
    <row r="80" spans="4:11" ht="19.5" customHeight="1" x14ac:dyDescent="0.35">
      <c r="D80" s="7"/>
      <c r="F80" s="7"/>
      <c r="G80" s="7"/>
      <c r="I80" s="7"/>
      <c r="J80" s="7"/>
      <c r="K80" s="36"/>
    </row>
    <row r="81" spans="4:11" ht="19.5" customHeight="1" x14ac:dyDescent="0.35">
      <c r="D81" s="7"/>
      <c r="F81" s="7"/>
      <c r="G81" s="7"/>
      <c r="I81" s="7"/>
      <c r="J81" s="7"/>
      <c r="K81" s="36"/>
    </row>
    <row r="82" spans="4:11" ht="19.5" customHeight="1" x14ac:dyDescent="0.35">
      <c r="D82" s="7"/>
      <c r="F82" s="7"/>
      <c r="G82" s="7"/>
      <c r="I82" s="7"/>
      <c r="J82" s="7"/>
      <c r="K82" s="36"/>
    </row>
    <row r="83" spans="4:11" ht="19.5" customHeight="1" x14ac:dyDescent="0.35">
      <c r="D83" s="7"/>
      <c r="F83" s="7"/>
      <c r="G83" s="7"/>
      <c r="I83" s="7"/>
      <c r="J83" s="7"/>
      <c r="K83" s="36"/>
    </row>
    <row r="84" spans="4:11" ht="19.5" customHeight="1" x14ac:dyDescent="0.35">
      <c r="D84" s="7"/>
      <c r="F84" s="7"/>
      <c r="G84" s="7"/>
      <c r="I84" s="7"/>
      <c r="J84" s="7"/>
      <c r="K84" s="36"/>
    </row>
    <row r="85" spans="4:11" ht="19.5" customHeight="1" x14ac:dyDescent="0.35">
      <c r="D85" s="7"/>
      <c r="F85" s="7"/>
      <c r="G85" s="7"/>
      <c r="I85" s="7"/>
      <c r="J85" s="7"/>
      <c r="K85" s="36"/>
    </row>
    <row r="86" spans="4:11" ht="19.5" customHeight="1" x14ac:dyDescent="0.35">
      <c r="D86" s="7"/>
      <c r="F86" s="7"/>
      <c r="G86" s="7"/>
      <c r="I86" s="7"/>
      <c r="J86" s="7"/>
      <c r="K86" s="36"/>
    </row>
    <row r="87" spans="4:11" ht="19.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51:E51"/>
    <mergeCell ref="G51:L51"/>
    <mergeCell ref="B4:D4"/>
    <mergeCell ref="A1:L1"/>
    <mergeCell ref="E4:L4"/>
    <mergeCell ref="F5:H5"/>
    <mergeCell ref="J5:L5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9"/>
  <sheetViews>
    <sheetView showOutlineSymbols="0" zoomScaleNormal="100" zoomScaleSheetLayoutView="100" workbookViewId="0">
      <pane ySplit="6" topLeftCell="A7" activePane="bottomLeft" state="frozen"/>
      <selection pane="bottomLeft" activeCell="M8" sqref="M8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26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25">
        <f>2+1</f>
        <v>3</v>
      </c>
      <c r="C7" s="9">
        <v>0</v>
      </c>
      <c r="D7" s="25">
        <f>B7-C7</f>
        <v>3</v>
      </c>
      <c r="E7" s="9">
        <f>SUM(F7:G7)</f>
        <v>170</v>
      </c>
      <c r="F7" s="25">
        <v>0</v>
      </c>
      <c r="G7" s="25">
        <f>130+40</f>
        <v>170</v>
      </c>
      <c r="H7" s="25">
        <f t="shared" ref="H7:H46" si="0">SUM(F7:G7)</f>
        <v>170</v>
      </c>
      <c r="I7" s="9">
        <f>SUM(J7:K7)</f>
        <v>0</v>
      </c>
      <c r="J7" s="25">
        <v>0</v>
      </c>
      <c r="K7" s="25">
        <v>0</v>
      </c>
      <c r="L7" s="26">
        <f t="shared" ref="L7:L46" si="1">SUM(J7:K7)</f>
        <v>0</v>
      </c>
    </row>
    <row r="8" spans="1:12" ht="15" customHeight="1" x14ac:dyDescent="0.35">
      <c r="A8" s="27" t="s">
        <v>16</v>
      </c>
      <c r="B8" s="28">
        <f>1+1+1+3</f>
        <v>6</v>
      </c>
      <c r="C8" s="3">
        <v>0</v>
      </c>
      <c r="D8" s="28">
        <f t="shared" ref="D8:D46" si="2">D7+B8-C8</f>
        <v>9</v>
      </c>
      <c r="E8" s="28">
        <f t="shared" ref="E8:E46" si="3">E7+F8+G8</f>
        <v>590</v>
      </c>
      <c r="F8" s="28">
        <f>50+40+80</f>
        <v>170</v>
      </c>
      <c r="G8" s="28">
        <f>50+200</f>
        <v>250</v>
      </c>
      <c r="H8" s="28">
        <f t="shared" si="0"/>
        <v>420</v>
      </c>
      <c r="I8" s="28">
        <f t="shared" ref="I8:I46" si="4">I7+J8+K8</f>
        <v>50</v>
      </c>
      <c r="J8" s="28">
        <v>0</v>
      </c>
      <c r="K8" s="28">
        <v>50</v>
      </c>
      <c r="L8" s="29">
        <f t="shared" si="1"/>
        <v>50</v>
      </c>
    </row>
    <row r="9" spans="1:12" ht="15" customHeight="1" x14ac:dyDescent="0.35">
      <c r="A9" s="27" t="s">
        <v>17</v>
      </c>
      <c r="B9" s="28">
        <f>5+6+5+8+1</f>
        <v>25</v>
      </c>
      <c r="C9" s="3">
        <v>0</v>
      </c>
      <c r="D9" s="28">
        <f t="shared" si="2"/>
        <v>34</v>
      </c>
      <c r="E9" s="28">
        <f t="shared" si="3"/>
        <v>2070</v>
      </c>
      <c r="F9" s="28">
        <f>100+70+80+220</f>
        <v>470</v>
      </c>
      <c r="G9" s="28">
        <f>195+235+290+160+130</f>
        <v>1010</v>
      </c>
      <c r="H9" s="28">
        <f t="shared" si="0"/>
        <v>1480</v>
      </c>
      <c r="I9" s="28">
        <f t="shared" si="4"/>
        <v>560</v>
      </c>
      <c r="J9" s="28">
        <f>40+10+300-20</f>
        <v>330</v>
      </c>
      <c r="K9" s="28">
        <v>180</v>
      </c>
      <c r="L9" s="29">
        <f t="shared" si="1"/>
        <v>510</v>
      </c>
    </row>
    <row r="10" spans="1:12" ht="15" customHeight="1" x14ac:dyDescent="0.35">
      <c r="A10" s="2" t="s">
        <v>18</v>
      </c>
      <c r="B10" s="28">
        <f>2+3+1</f>
        <v>6</v>
      </c>
      <c r="C10" s="3">
        <f>1+1</f>
        <v>2</v>
      </c>
      <c r="D10" s="28">
        <f t="shared" si="2"/>
        <v>38</v>
      </c>
      <c r="E10" s="28">
        <f t="shared" si="3"/>
        <v>2780</v>
      </c>
      <c r="F10" s="28">
        <f>-30+170+135+90</f>
        <v>365</v>
      </c>
      <c r="G10" s="28">
        <f>145+150+50</f>
        <v>345</v>
      </c>
      <c r="H10" s="28">
        <f t="shared" si="0"/>
        <v>710</v>
      </c>
      <c r="I10" s="28">
        <f t="shared" si="4"/>
        <v>692</v>
      </c>
      <c r="J10" s="28">
        <f>-80+130-40+72</f>
        <v>82</v>
      </c>
      <c r="K10" s="28">
        <v>50</v>
      </c>
      <c r="L10" s="29">
        <f t="shared" si="1"/>
        <v>132</v>
      </c>
    </row>
    <row r="11" spans="1:12" ht="15" customHeight="1" x14ac:dyDescent="0.35">
      <c r="A11" s="2" t="s">
        <v>19</v>
      </c>
      <c r="B11" s="28">
        <f>1+3+2+1+1</f>
        <v>8</v>
      </c>
      <c r="C11" s="3">
        <f>1+1+1</f>
        <v>3</v>
      </c>
      <c r="D11" s="28">
        <f t="shared" si="2"/>
        <v>43</v>
      </c>
      <c r="E11" s="28">
        <f t="shared" si="3"/>
        <v>3480</v>
      </c>
      <c r="F11" s="28">
        <f>-40+40+157+130-55</f>
        <v>232</v>
      </c>
      <c r="G11" s="28">
        <f>100+138+150+80</f>
        <v>468</v>
      </c>
      <c r="H11" s="28">
        <f t="shared" si="0"/>
        <v>700</v>
      </c>
      <c r="I11" s="28">
        <f t="shared" si="4"/>
        <v>790</v>
      </c>
      <c r="J11" s="28">
        <f>50-50-20-37+5</f>
        <v>-52</v>
      </c>
      <c r="K11" s="28">
        <f>50+50+50</f>
        <v>150</v>
      </c>
      <c r="L11" s="29">
        <f t="shared" si="1"/>
        <v>98</v>
      </c>
    </row>
    <row r="12" spans="1:12" ht="15" customHeight="1" x14ac:dyDescent="0.35">
      <c r="A12" s="2" t="s">
        <v>23</v>
      </c>
      <c r="B12" s="28">
        <f>1+3+1</f>
        <v>5</v>
      </c>
      <c r="C12" s="3">
        <f>2+1</f>
        <v>3</v>
      </c>
      <c r="D12" s="28">
        <f t="shared" si="2"/>
        <v>45</v>
      </c>
      <c r="E12" s="28">
        <f t="shared" si="3"/>
        <v>3594</v>
      </c>
      <c r="F12" s="28">
        <f>76-120-40</f>
        <v>-84</v>
      </c>
      <c r="G12" s="28">
        <f>40+108+50</f>
        <v>198</v>
      </c>
      <c r="H12" s="28">
        <f t="shared" si="0"/>
        <v>114</v>
      </c>
      <c r="I12" s="28">
        <f t="shared" si="4"/>
        <v>655</v>
      </c>
      <c r="J12" s="28">
        <f>-15+15-135+15-15</f>
        <v>-135</v>
      </c>
      <c r="K12" s="28">
        <v>0</v>
      </c>
      <c r="L12" s="29">
        <f t="shared" si="1"/>
        <v>-135</v>
      </c>
    </row>
    <row r="13" spans="1:12" ht="15" customHeight="1" x14ac:dyDescent="0.35">
      <c r="A13" s="2">
        <v>63</v>
      </c>
      <c r="B13" s="28">
        <v>0</v>
      </c>
      <c r="C13" s="3">
        <v>0</v>
      </c>
      <c r="D13" s="28">
        <f t="shared" si="2"/>
        <v>45</v>
      </c>
      <c r="E13" s="28">
        <f t="shared" si="3"/>
        <v>3724</v>
      </c>
      <c r="F13" s="28">
        <v>130</v>
      </c>
      <c r="G13" s="28">
        <v>0</v>
      </c>
      <c r="H13" s="28">
        <f t="shared" si="0"/>
        <v>130</v>
      </c>
      <c r="I13" s="28">
        <f t="shared" si="4"/>
        <v>670</v>
      </c>
      <c r="J13" s="28">
        <v>15</v>
      </c>
      <c r="K13" s="28">
        <v>0</v>
      </c>
      <c r="L13" s="29">
        <f t="shared" si="1"/>
        <v>15</v>
      </c>
    </row>
    <row r="14" spans="1:12" ht="15" customHeight="1" x14ac:dyDescent="0.35">
      <c r="A14" s="2" t="s">
        <v>38</v>
      </c>
      <c r="B14" s="28">
        <v>1</v>
      </c>
      <c r="C14" s="3">
        <v>0</v>
      </c>
      <c r="D14" s="28">
        <f t="shared" si="2"/>
        <v>46</v>
      </c>
      <c r="E14" s="28">
        <f t="shared" si="3"/>
        <v>3774</v>
      </c>
      <c r="F14" s="28">
        <v>50</v>
      </c>
      <c r="G14" s="28">
        <v>0</v>
      </c>
      <c r="H14" s="28">
        <f t="shared" si="0"/>
        <v>50</v>
      </c>
      <c r="I14" s="28">
        <f t="shared" si="4"/>
        <v>680</v>
      </c>
      <c r="J14" s="28">
        <v>-15</v>
      </c>
      <c r="K14" s="28">
        <v>25</v>
      </c>
      <c r="L14" s="29">
        <f t="shared" si="1"/>
        <v>10</v>
      </c>
    </row>
    <row r="15" spans="1:12" ht="15" customHeight="1" x14ac:dyDescent="0.35">
      <c r="A15" s="2">
        <v>2</v>
      </c>
      <c r="B15" s="28">
        <v>1</v>
      </c>
      <c r="C15" s="3">
        <v>0</v>
      </c>
      <c r="D15" s="28">
        <f t="shared" si="2"/>
        <v>47</v>
      </c>
      <c r="E15" s="28">
        <f t="shared" si="3"/>
        <v>3804</v>
      </c>
      <c r="F15" s="28">
        <v>-10</v>
      </c>
      <c r="G15" s="28">
        <v>40</v>
      </c>
      <c r="H15" s="28">
        <f t="shared" si="0"/>
        <v>30</v>
      </c>
      <c r="I15" s="28">
        <f t="shared" si="4"/>
        <v>735</v>
      </c>
      <c r="J15" s="28">
        <v>15</v>
      </c>
      <c r="K15" s="28">
        <v>40</v>
      </c>
      <c r="L15" s="29">
        <f t="shared" si="1"/>
        <v>55</v>
      </c>
    </row>
    <row r="16" spans="1:12" ht="15" customHeight="1" x14ac:dyDescent="0.35">
      <c r="A16" s="2">
        <v>3</v>
      </c>
      <c r="B16" s="28">
        <v>1</v>
      </c>
      <c r="C16" s="3">
        <v>0</v>
      </c>
      <c r="D16" s="28">
        <f t="shared" si="2"/>
        <v>48</v>
      </c>
      <c r="E16" s="28">
        <f t="shared" si="3"/>
        <v>3939</v>
      </c>
      <c r="F16" s="28">
        <v>40</v>
      </c>
      <c r="G16" s="28">
        <v>95</v>
      </c>
      <c r="H16" s="28">
        <f t="shared" si="0"/>
        <v>135</v>
      </c>
      <c r="I16" s="28">
        <f t="shared" si="4"/>
        <v>720</v>
      </c>
      <c r="J16" s="28">
        <v>-15</v>
      </c>
      <c r="K16" s="28">
        <v>0</v>
      </c>
      <c r="L16" s="29">
        <f t="shared" si="1"/>
        <v>-15</v>
      </c>
    </row>
    <row r="17" spans="1:14" ht="15" customHeight="1" x14ac:dyDescent="0.35">
      <c r="A17" s="2">
        <v>4</v>
      </c>
      <c r="B17" s="28">
        <v>0</v>
      </c>
      <c r="C17" s="3">
        <v>0</v>
      </c>
      <c r="D17" s="28">
        <f t="shared" si="2"/>
        <v>48</v>
      </c>
      <c r="E17" s="28">
        <f t="shared" si="3"/>
        <v>3939</v>
      </c>
      <c r="F17" s="28">
        <v>0</v>
      </c>
      <c r="G17" s="28">
        <v>0</v>
      </c>
      <c r="H17" s="28">
        <f t="shared" si="0"/>
        <v>0</v>
      </c>
      <c r="I17" s="28">
        <f t="shared" si="4"/>
        <v>735</v>
      </c>
      <c r="J17" s="28">
        <v>15</v>
      </c>
      <c r="K17" s="28">
        <v>0</v>
      </c>
      <c r="L17" s="29">
        <f t="shared" si="1"/>
        <v>15</v>
      </c>
    </row>
    <row r="18" spans="1:14" ht="15" customHeight="1" x14ac:dyDescent="0.35">
      <c r="A18" s="2">
        <v>5</v>
      </c>
      <c r="B18" s="28">
        <v>0</v>
      </c>
      <c r="C18" s="3">
        <v>1</v>
      </c>
      <c r="D18" s="28">
        <f t="shared" si="2"/>
        <v>47</v>
      </c>
      <c r="E18" s="28">
        <f t="shared" si="3"/>
        <v>3724</v>
      </c>
      <c r="F18" s="28">
        <v>-215</v>
      </c>
      <c r="G18" s="28">
        <v>0</v>
      </c>
      <c r="H18" s="28">
        <f t="shared" si="0"/>
        <v>-215</v>
      </c>
      <c r="I18" s="28">
        <f t="shared" si="4"/>
        <v>675</v>
      </c>
      <c r="J18" s="28">
        <v>-60</v>
      </c>
      <c r="K18" s="28">
        <v>0</v>
      </c>
      <c r="L18" s="29">
        <f t="shared" si="1"/>
        <v>-60</v>
      </c>
    </row>
    <row r="19" spans="1:14" ht="15" customHeight="1" x14ac:dyDescent="0.35">
      <c r="A19" s="2">
        <v>6</v>
      </c>
      <c r="B19" s="28">
        <v>2</v>
      </c>
      <c r="C19" s="3">
        <v>1</v>
      </c>
      <c r="D19" s="28">
        <f t="shared" si="2"/>
        <v>48</v>
      </c>
      <c r="E19" s="28">
        <f t="shared" si="3"/>
        <v>3724</v>
      </c>
      <c r="F19" s="28">
        <v>-80</v>
      </c>
      <c r="G19" s="28">
        <v>80</v>
      </c>
      <c r="H19" s="28">
        <f t="shared" si="0"/>
        <v>0</v>
      </c>
      <c r="I19" s="28">
        <f t="shared" si="4"/>
        <v>675</v>
      </c>
      <c r="J19" s="28">
        <v>0</v>
      </c>
      <c r="K19" s="28">
        <v>0</v>
      </c>
      <c r="L19" s="29">
        <f t="shared" si="1"/>
        <v>0</v>
      </c>
    </row>
    <row r="20" spans="1:14" ht="15" customHeight="1" x14ac:dyDescent="0.35">
      <c r="A20" s="2">
        <v>7</v>
      </c>
      <c r="B20" s="28">
        <v>0</v>
      </c>
      <c r="C20" s="3">
        <v>1</v>
      </c>
      <c r="D20" s="28">
        <f t="shared" si="2"/>
        <v>47</v>
      </c>
      <c r="E20" s="28">
        <f t="shared" si="3"/>
        <v>3674</v>
      </c>
      <c r="F20" s="28">
        <v>-50</v>
      </c>
      <c r="G20" s="28">
        <v>0</v>
      </c>
      <c r="H20" s="28">
        <f t="shared" si="0"/>
        <v>-50</v>
      </c>
      <c r="I20" s="28">
        <f t="shared" si="4"/>
        <v>675</v>
      </c>
      <c r="J20" s="28">
        <v>0</v>
      </c>
      <c r="K20" s="28">
        <v>0</v>
      </c>
      <c r="L20" s="29">
        <f t="shared" si="1"/>
        <v>0</v>
      </c>
    </row>
    <row r="21" spans="1:14" ht="15" customHeight="1" x14ac:dyDescent="0.35">
      <c r="A21" s="2">
        <v>8</v>
      </c>
      <c r="B21" s="28">
        <v>0</v>
      </c>
      <c r="C21" s="3">
        <v>0</v>
      </c>
      <c r="D21" s="28">
        <f t="shared" si="2"/>
        <v>47</v>
      </c>
      <c r="E21" s="28">
        <f t="shared" si="3"/>
        <v>3674</v>
      </c>
      <c r="F21" s="28">
        <v>0</v>
      </c>
      <c r="G21" s="28">
        <v>0</v>
      </c>
      <c r="H21" s="28">
        <f t="shared" si="0"/>
        <v>0</v>
      </c>
      <c r="I21" s="28">
        <f t="shared" si="4"/>
        <v>675</v>
      </c>
      <c r="J21" s="28">
        <v>0</v>
      </c>
      <c r="K21" s="28">
        <v>0</v>
      </c>
      <c r="L21" s="29">
        <f t="shared" si="1"/>
        <v>0</v>
      </c>
    </row>
    <row r="22" spans="1:14" ht="15" customHeight="1" x14ac:dyDescent="0.35">
      <c r="A22" s="2">
        <v>9</v>
      </c>
      <c r="B22" s="28">
        <v>0</v>
      </c>
      <c r="C22" s="3">
        <v>0</v>
      </c>
      <c r="D22" s="28">
        <f t="shared" si="2"/>
        <v>47</v>
      </c>
      <c r="E22" s="28">
        <f t="shared" si="3"/>
        <v>3759</v>
      </c>
      <c r="F22" s="28">
        <v>85</v>
      </c>
      <c r="G22" s="28">
        <v>0</v>
      </c>
      <c r="H22" s="28">
        <f t="shared" si="0"/>
        <v>85</v>
      </c>
      <c r="I22" s="28">
        <f t="shared" si="4"/>
        <v>675</v>
      </c>
      <c r="J22" s="28">
        <v>0</v>
      </c>
      <c r="K22" s="28">
        <v>0</v>
      </c>
      <c r="L22" s="29">
        <f t="shared" si="1"/>
        <v>0</v>
      </c>
    </row>
    <row r="23" spans="1:14" ht="15" customHeight="1" x14ac:dyDescent="0.35">
      <c r="A23" s="2">
        <v>10</v>
      </c>
      <c r="B23" s="28">
        <v>1</v>
      </c>
      <c r="C23" s="3">
        <v>0</v>
      </c>
      <c r="D23" s="28">
        <f t="shared" si="2"/>
        <v>48</v>
      </c>
      <c r="E23" s="28">
        <f t="shared" si="3"/>
        <v>3799</v>
      </c>
      <c r="F23" s="28">
        <v>0</v>
      </c>
      <c r="G23" s="28">
        <v>40</v>
      </c>
      <c r="H23" s="28">
        <f t="shared" si="0"/>
        <v>40</v>
      </c>
      <c r="I23" s="28">
        <f t="shared" si="4"/>
        <v>675</v>
      </c>
      <c r="J23" s="28">
        <v>0</v>
      </c>
      <c r="K23" s="28">
        <v>0</v>
      </c>
      <c r="L23" s="29">
        <f t="shared" si="1"/>
        <v>0</v>
      </c>
    </row>
    <row r="24" spans="1:14" ht="15" customHeight="1" x14ac:dyDescent="0.35">
      <c r="A24" s="2">
        <v>11</v>
      </c>
      <c r="B24" s="28">
        <v>1</v>
      </c>
      <c r="C24" s="3">
        <v>0</v>
      </c>
      <c r="D24" s="28">
        <f t="shared" si="2"/>
        <v>49</v>
      </c>
      <c r="E24" s="28">
        <f t="shared" si="3"/>
        <v>3814</v>
      </c>
      <c r="F24" s="28">
        <v>-25</v>
      </c>
      <c r="G24" s="28">
        <v>40</v>
      </c>
      <c r="H24" s="28">
        <f t="shared" si="0"/>
        <v>15</v>
      </c>
      <c r="I24" s="28">
        <f t="shared" si="4"/>
        <v>615</v>
      </c>
      <c r="J24" s="28">
        <v>-60</v>
      </c>
      <c r="K24" s="28">
        <v>0</v>
      </c>
      <c r="L24" s="29">
        <f t="shared" si="1"/>
        <v>-60</v>
      </c>
    </row>
    <row r="25" spans="1:14" ht="15" customHeight="1" x14ac:dyDescent="0.35">
      <c r="A25" s="2">
        <v>12</v>
      </c>
      <c r="B25" s="28">
        <v>0</v>
      </c>
      <c r="C25" s="3">
        <v>0</v>
      </c>
      <c r="D25" s="28">
        <f t="shared" si="2"/>
        <v>49</v>
      </c>
      <c r="E25" s="28">
        <f t="shared" si="3"/>
        <v>3884</v>
      </c>
      <c r="F25" s="28">
        <v>70</v>
      </c>
      <c r="G25" s="28">
        <v>0</v>
      </c>
      <c r="H25" s="28">
        <f t="shared" si="0"/>
        <v>70</v>
      </c>
      <c r="I25" s="28">
        <f t="shared" si="4"/>
        <v>605</v>
      </c>
      <c r="J25" s="28">
        <v>-10</v>
      </c>
      <c r="K25" s="28">
        <v>0</v>
      </c>
      <c r="L25" s="29">
        <f t="shared" si="1"/>
        <v>-10</v>
      </c>
    </row>
    <row r="26" spans="1:14" ht="15" customHeight="1" x14ac:dyDescent="0.35">
      <c r="A26" s="2">
        <v>13</v>
      </c>
      <c r="B26" s="28">
        <v>0</v>
      </c>
      <c r="C26" s="3">
        <v>0</v>
      </c>
      <c r="D26" s="28">
        <f t="shared" si="2"/>
        <v>49</v>
      </c>
      <c r="E26" s="28">
        <f t="shared" si="3"/>
        <v>3884</v>
      </c>
      <c r="F26" s="28">
        <v>0</v>
      </c>
      <c r="G26" s="28">
        <v>0</v>
      </c>
      <c r="H26" s="28">
        <f t="shared" si="0"/>
        <v>0</v>
      </c>
      <c r="I26" s="28">
        <f t="shared" si="4"/>
        <v>605</v>
      </c>
      <c r="J26" s="28">
        <v>0</v>
      </c>
      <c r="K26" s="28">
        <v>0</v>
      </c>
      <c r="L26" s="29">
        <f t="shared" si="1"/>
        <v>0</v>
      </c>
    </row>
    <row r="27" spans="1:14" ht="15" customHeight="1" x14ac:dyDescent="0.35">
      <c r="A27" s="2">
        <v>14</v>
      </c>
      <c r="B27" s="28">
        <v>1</v>
      </c>
      <c r="C27" s="3">
        <v>0</v>
      </c>
      <c r="D27" s="28">
        <f t="shared" si="2"/>
        <v>50</v>
      </c>
      <c r="E27" s="28">
        <f t="shared" si="3"/>
        <v>3954</v>
      </c>
      <c r="F27" s="28">
        <v>40</v>
      </c>
      <c r="G27" s="28">
        <v>30</v>
      </c>
      <c r="H27" s="28">
        <f t="shared" si="0"/>
        <v>70</v>
      </c>
      <c r="I27" s="28">
        <f t="shared" si="4"/>
        <v>625</v>
      </c>
      <c r="J27" s="28">
        <v>20</v>
      </c>
      <c r="K27" s="28">
        <v>0</v>
      </c>
      <c r="L27" s="29">
        <f t="shared" si="1"/>
        <v>20</v>
      </c>
    </row>
    <row r="28" spans="1:14" ht="15" customHeight="1" x14ac:dyDescent="0.35">
      <c r="A28" s="2">
        <v>15</v>
      </c>
      <c r="B28" s="28">
        <v>1</v>
      </c>
      <c r="C28" s="3">
        <v>0</v>
      </c>
      <c r="D28" s="28">
        <f t="shared" si="2"/>
        <v>51</v>
      </c>
      <c r="E28" s="28">
        <f t="shared" si="3"/>
        <v>4032</v>
      </c>
      <c r="F28" s="28">
        <v>38</v>
      </c>
      <c r="G28" s="28">
        <v>40</v>
      </c>
      <c r="H28" s="28">
        <f t="shared" si="0"/>
        <v>78</v>
      </c>
      <c r="I28" s="28">
        <f t="shared" si="4"/>
        <v>495</v>
      </c>
      <c r="J28" s="28">
        <v>-130</v>
      </c>
      <c r="K28" s="28">
        <v>0</v>
      </c>
      <c r="L28" s="29">
        <f t="shared" si="1"/>
        <v>-130</v>
      </c>
    </row>
    <row r="29" spans="1:14" ht="15" customHeight="1" x14ac:dyDescent="0.35">
      <c r="A29" s="2">
        <v>16</v>
      </c>
      <c r="B29" s="28">
        <v>0</v>
      </c>
      <c r="C29" s="3">
        <v>0</v>
      </c>
      <c r="D29" s="28">
        <f t="shared" si="2"/>
        <v>51</v>
      </c>
      <c r="E29" s="28">
        <f t="shared" si="3"/>
        <v>4011</v>
      </c>
      <c r="F29" s="28">
        <v>-21</v>
      </c>
      <c r="G29" s="28">
        <v>0</v>
      </c>
      <c r="H29" s="28">
        <f t="shared" si="0"/>
        <v>-21</v>
      </c>
      <c r="I29" s="28">
        <f t="shared" si="4"/>
        <v>495</v>
      </c>
      <c r="J29" s="28">
        <v>0</v>
      </c>
      <c r="K29" s="28">
        <v>0</v>
      </c>
      <c r="L29" s="29">
        <f t="shared" si="1"/>
        <v>0</v>
      </c>
    </row>
    <row r="30" spans="1:14" ht="15" customHeight="1" x14ac:dyDescent="0.35">
      <c r="A30" s="2">
        <v>17</v>
      </c>
      <c r="B30" s="28">
        <v>1</v>
      </c>
      <c r="C30" s="28">
        <v>1</v>
      </c>
      <c r="D30" s="28">
        <f t="shared" si="2"/>
        <v>51</v>
      </c>
      <c r="E30" s="28">
        <f t="shared" si="3"/>
        <v>4123</v>
      </c>
      <c r="F30" s="28">
        <v>-5</v>
      </c>
      <c r="G30" s="28">
        <v>117</v>
      </c>
      <c r="H30" s="28">
        <f t="shared" si="0"/>
        <v>112</v>
      </c>
      <c r="I30" s="28">
        <f t="shared" si="4"/>
        <v>505</v>
      </c>
      <c r="J30" s="28">
        <v>10</v>
      </c>
      <c r="K30" s="28">
        <v>0</v>
      </c>
      <c r="L30" s="29">
        <f t="shared" si="1"/>
        <v>10</v>
      </c>
    </row>
    <row r="31" spans="1:14" ht="15" customHeight="1" x14ac:dyDescent="0.35">
      <c r="A31" s="2">
        <v>18</v>
      </c>
      <c r="B31" s="28">
        <v>1</v>
      </c>
      <c r="C31" s="28">
        <v>1</v>
      </c>
      <c r="D31" s="28">
        <f t="shared" si="2"/>
        <v>51</v>
      </c>
      <c r="E31" s="28">
        <f t="shared" si="3"/>
        <v>4153</v>
      </c>
      <c r="F31" s="28">
        <v>5</v>
      </c>
      <c r="G31" s="28">
        <v>25</v>
      </c>
      <c r="H31" s="28">
        <f t="shared" si="0"/>
        <v>30</v>
      </c>
      <c r="I31" s="28">
        <f t="shared" si="4"/>
        <v>545</v>
      </c>
      <c r="J31" s="28">
        <v>40</v>
      </c>
      <c r="K31" s="28">
        <v>0</v>
      </c>
      <c r="L31" s="29">
        <f t="shared" si="1"/>
        <v>40</v>
      </c>
    </row>
    <row r="32" spans="1:14" ht="15" customHeight="1" x14ac:dyDescent="0.35">
      <c r="A32" s="2">
        <v>19</v>
      </c>
      <c r="B32" s="28">
        <v>0</v>
      </c>
      <c r="C32" s="28">
        <v>0</v>
      </c>
      <c r="D32" s="28">
        <f t="shared" si="2"/>
        <v>51</v>
      </c>
      <c r="E32" s="28">
        <f t="shared" si="3"/>
        <v>4183</v>
      </c>
      <c r="F32" s="28">
        <f>30-30+30</f>
        <v>30</v>
      </c>
      <c r="G32" s="28">
        <v>0</v>
      </c>
      <c r="H32" s="28">
        <f t="shared" si="0"/>
        <v>30</v>
      </c>
      <c r="I32" s="28">
        <f t="shared" si="4"/>
        <v>585</v>
      </c>
      <c r="J32" s="28">
        <v>40</v>
      </c>
      <c r="K32" s="28">
        <v>0</v>
      </c>
      <c r="L32" s="29">
        <f t="shared" si="1"/>
        <v>40</v>
      </c>
      <c r="N32" s="32">
        <f t="shared" ref="N32:N47" si="5">E32+I32</f>
        <v>4768</v>
      </c>
    </row>
    <row r="33" spans="1:14" ht="15" customHeight="1" x14ac:dyDescent="0.35">
      <c r="A33" s="2">
        <v>20</v>
      </c>
      <c r="B33" s="28">
        <v>0</v>
      </c>
      <c r="C33" s="28">
        <v>0</v>
      </c>
      <c r="D33" s="28">
        <f t="shared" si="2"/>
        <v>51</v>
      </c>
      <c r="E33" s="28">
        <f t="shared" si="3"/>
        <v>4183</v>
      </c>
      <c r="F33" s="28">
        <v>0</v>
      </c>
      <c r="G33" s="28">
        <v>0</v>
      </c>
      <c r="H33" s="28">
        <f t="shared" si="0"/>
        <v>0</v>
      </c>
      <c r="I33" s="28">
        <f t="shared" si="4"/>
        <v>585</v>
      </c>
      <c r="J33" s="28">
        <v>0</v>
      </c>
      <c r="K33" s="28">
        <v>0</v>
      </c>
      <c r="L33" s="29">
        <f t="shared" si="1"/>
        <v>0</v>
      </c>
      <c r="N33" s="32">
        <f t="shared" si="5"/>
        <v>4768</v>
      </c>
    </row>
    <row r="34" spans="1:14" ht="15" customHeight="1" x14ac:dyDescent="0.35">
      <c r="A34" s="2">
        <v>21</v>
      </c>
      <c r="B34" s="28">
        <v>2</v>
      </c>
      <c r="C34" s="28">
        <v>0</v>
      </c>
      <c r="D34" s="28">
        <f t="shared" si="2"/>
        <v>53</v>
      </c>
      <c r="E34" s="28">
        <f t="shared" si="3"/>
        <v>4253</v>
      </c>
      <c r="F34" s="28">
        <v>-40</v>
      </c>
      <c r="G34" s="28">
        <v>110</v>
      </c>
      <c r="H34" s="28">
        <f t="shared" si="0"/>
        <v>70</v>
      </c>
      <c r="I34" s="28">
        <f t="shared" si="4"/>
        <v>545</v>
      </c>
      <c r="J34" s="28">
        <v>-40</v>
      </c>
      <c r="K34" s="28">
        <v>0</v>
      </c>
      <c r="L34" s="29">
        <f t="shared" si="1"/>
        <v>-40</v>
      </c>
      <c r="N34" s="32">
        <f t="shared" si="5"/>
        <v>4798</v>
      </c>
    </row>
    <row r="35" spans="1:14" ht="15" customHeight="1" x14ac:dyDescent="0.35">
      <c r="A35" s="2">
        <v>22</v>
      </c>
      <c r="B35" s="28">
        <v>0</v>
      </c>
      <c r="C35" s="28">
        <v>0</v>
      </c>
      <c r="D35" s="28">
        <f t="shared" si="2"/>
        <v>53</v>
      </c>
      <c r="E35" s="28">
        <f t="shared" si="3"/>
        <v>4253</v>
      </c>
      <c r="F35" s="28">
        <v>0</v>
      </c>
      <c r="G35" s="28">
        <v>0</v>
      </c>
      <c r="H35" s="28">
        <f t="shared" si="0"/>
        <v>0</v>
      </c>
      <c r="I35" s="28">
        <f t="shared" si="4"/>
        <v>535</v>
      </c>
      <c r="J35" s="28">
        <v>-10</v>
      </c>
      <c r="K35" s="28">
        <v>0</v>
      </c>
      <c r="L35" s="29">
        <f t="shared" si="1"/>
        <v>-10</v>
      </c>
      <c r="N35" s="32">
        <f t="shared" si="5"/>
        <v>4788</v>
      </c>
    </row>
    <row r="36" spans="1:14" ht="15" customHeight="1" x14ac:dyDescent="0.35">
      <c r="A36" s="2">
        <v>23</v>
      </c>
      <c r="B36" s="28">
        <v>0</v>
      </c>
      <c r="C36" s="28">
        <v>0</v>
      </c>
      <c r="D36" s="28">
        <f t="shared" si="2"/>
        <v>53</v>
      </c>
      <c r="E36" s="28">
        <f t="shared" si="3"/>
        <v>4268</v>
      </c>
      <c r="F36" s="28">
        <f>15</f>
        <v>15</v>
      </c>
      <c r="G36" s="28">
        <v>0</v>
      </c>
      <c r="H36" s="28">
        <f t="shared" si="0"/>
        <v>15</v>
      </c>
      <c r="I36" s="28">
        <f t="shared" si="4"/>
        <v>535</v>
      </c>
      <c r="J36" s="28">
        <v>0</v>
      </c>
      <c r="K36" s="28">
        <v>0</v>
      </c>
      <c r="L36" s="29">
        <f t="shared" si="1"/>
        <v>0</v>
      </c>
      <c r="N36" s="32">
        <f t="shared" si="5"/>
        <v>4803</v>
      </c>
    </row>
    <row r="37" spans="1:14" ht="15" customHeight="1" x14ac:dyDescent="0.35">
      <c r="A37" s="2">
        <v>24</v>
      </c>
      <c r="B37" s="28">
        <v>1</v>
      </c>
      <c r="C37" s="28">
        <v>0</v>
      </c>
      <c r="D37" s="28">
        <f t="shared" si="2"/>
        <v>54</v>
      </c>
      <c r="E37" s="28">
        <f t="shared" si="3"/>
        <v>4298</v>
      </c>
      <c r="F37" s="28">
        <f>-10</f>
        <v>-10</v>
      </c>
      <c r="G37" s="28">
        <v>40</v>
      </c>
      <c r="H37" s="28">
        <f t="shared" si="0"/>
        <v>30</v>
      </c>
      <c r="I37" s="28">
        <f t="shared" si="4"/>
        <v>470</v>
      </c>
      <c r="J37" s="28">
        <v>-65</v>
      </c>
      <c r="K37" s="28">
        <v>0</v>
      </c>
      <c r="L37" s="29">
        <f t="shared" si="1"/>
        <v>-65</v>
      </c>
      <c r="N37" s="32">
        <f t="shared" si="5"/>
        <v>4768</v>
      </c>
    </row>
    <row r="38" spans="1:14" ht="15" customHeight="1" x14ac:dyDescent="0.35">
      <c r="A38" s="2">
        <v>25</v>
      </c>
      <c r="B38" s="28">
        <v>0</v>
      </c>
      <c r="C38" s="28">
        <v>0</v>
      </c>
      <c r="D38" s="28">
        <f t="shared" si="2"/>
        <v>54</v>
      </c>
      <c r="E38" s="28">
        <f t="shared" si="3"/>
        <v>4168</v>
      </c>
      <c r="F38" s="28">
        <f>40-70-40-50-10</f>
        <v>-130</v>
      </c>
      <c r="G38" s="28">
        <v>0</v>
      </c>
      <c r="H38" s="28">
        <f t="shared" si="0"/>
        <v>-130</v>
      </c>
      <c r="I38" s="28">
        <f t="shared" si="4"/>
        <v>470</v>
      </c>
      <c r="J38" s="28">
        <v>0</v>
      </c>
      <c r="K38" s="28">
        <v>0</v>
      </c>
      <c r="L38" s="29">
        <f t="shared" si="1"/>
        <v>0</v>
      </c>
      <c r="N38" s="32">
        <f t="shared" si="5"/>
        <v>4638</v>
      </c>
    </row>
    <row r="39" spans="1:14" ht="15" customHeight="1" x14ac:dyDescent="0.35">
      <c r="A39" s="2">
        <v>26</v>
      </c>
      <c r="B39" s="28">
        <v>0</v>
      </c>
      <c r="C39" s="28">
        <v>1</v>
      </c>
      <c r="D39" s="28">
        <f t="shared" si="2"/>
        <v>53</v>
      </c>
      <c r="E39" s="28">
        <f t="shared" si="3"/>
        <v>4088</v>
      </c>
      <c r="F39" s="28">
        <f>-80</f>
        <v>-80</v>
      </c>
      <c r="G39" s="28">
        <v>0</v>
      </c>
      <c r="H39" s="28">
        <f t="shared" si="0"/>
        <v>-80</v>
      </c>
      <c r="I39" s="28">
        <f t="shared" si="4"/>
        <v>470</v>
      </c>
      <c r="J39" s="28">
        <v>0</v>
      </c>
      <c r="K39" s="28">
        <v>0</v>
      </c>
      <c r="L39" s="29">
        <f t="shared" si="1"/>
        <v>0</v>
      </c>
      <c r="N39" s="32">
        <f t="shared" si="5"/>
        <v>4558</v>
      </c>
    </row>
    <row r="40" spans="1:14" ht="15" customHeight="1" x14ac:dyDescent="0.35">
      <c r="A40" s="2">
        <v>27</v>
      </c>
      <c r="B40" s="28">
        <v>1</v>
      </c>
      <c r="C40" s="28">
        <v>0</v>
      </c>
      <c r="D40" s="28">
        <f t="shared" si="2"/>
        <v>54</v>
      </c>
      <c r="E40" s="28">
        <f t="shared" si="3"/>
        <v>4098</v>
      </c>
      <c r="F40" s="28">
        <v>-10</v>
      </c>
      <c r="G40" s="28">
        <v>20</v>
      </c>
      <c r="H40" s="28">
        <f t="shared" si="0"/>
        <v>10</v>
      </c>
      <c r="I40" s="28">
        <f t="shared" si="4"/>
        <v>560</v>
      </c>
      <c r="J40" s="28">
        <f>120-30</f>
        <v>90</v>
      </c>
      <c r="K40" s="28">
        <v>0</v>
      </c>
      <c r="L40" s="29">
        <f t="shared" si="1"/>
        <v>90</v>
      </c>
      <c r="N40" s="32">
        <f t="shared" si="5"/>
        <v>4658</v>
      </c>
    </row>
    <row r="41" spans="1:14" ht="15" customHeight="1" x14ac:dyDescent="0.35">
      <c r="A41" s="2">
        <v>28</v>
      </c>
      <c r="B41" s="28">
        <v>0</v>
      </c>
      <c r="C41" s="28">
        <v>0</v>
      </c>
      <c r="D41" s="28">
        <f t="shared" si="2"/>
        <v>54</v>
      </c>
      <c r="E41" s="28">
        <f t="shared" si="3"/>
        <v>4078</v>
      </c>
      <c r="F41" s="28">
        <v>-20</v>
      </c>
      <c r="G41" s="28">
        <v>0</v>
      </c>
      <c r="H41" s="28">
        <f t="shared" si="0"/>
        <v>-20</v>
      </c>
      <c r="I41" s="28">
        <f t="shared" si="4"/>
        <v>540</v>
      </c>
      <c r="J41" s="28">
        <v>-20</v>
      </c>
      <c r="K41" s="28">
        <v>0</v>
      </c>
      <c r="L41" s="29">
        <f t="shared" si="1"/>
        <v>-20</v>
      </c>
      <c r="N41" s="32">
        <f t="shared" si="5"/>
        <v>4618</v>
      </c>
    </row>
    <row r="42" spans="1:14" ht="15" customHeight="1" x14ac:dyDescent="0.35">
      <c r="A42" s="2">
        <v>29</v>
      </c>
      <c r="B42" s="28">
        <v>0</v>
      </c>
      <c r="C42" s="28">
        <v>1</v>
      </c>
      <c r="D42" s="28">
        <f t="shared" si="2"/>
        <v>53</v>
      </c>
      <c r="E42" s="28">
        <f t="shared" si="3"/>
        <v>4083</v>
      </c>
      <c r="F42" s="28">
        <f>-30-5+40</f>
        <v>5</v>
      </c>
      <c r="G42" s="28">
        <v>0</v>
      </c>
      <c r="H42" s="28">
        <f t="shared" si="0"/>
        <v>5</v>
      </c>
      <c r="I42" s="28">
        <f t="shared" si="4"/>
        <v>500</v>
      </c>
      <c r="J42" s="28">
        <v>-40</v>
      </c>
      <c r="K42" s="28">
        <v>0</v>
      </c>
      <c r="L42" s="29">
        <f t="shared" si="1"/>
        <v>-40</v>
      </c>
      <c r="N42" s="32">
        <f t="shared" si="5"/>
        <v>4583</v>
      </c>
    </row>
    <row r="43" spans="1:14" ht="15" customHeight="1" x14ac:dyDescent="0.35">
      <c r="A43" s="2">
        <v>30</v>
      </c>
      <c r="B43" s="28">
        <v>1</v>
      </c>
      <c r="C43" s="28">
        <v>0</v>
      </c>
      <c r="D43" s="28">
        <f t="shared" si="2"/>
        <v>54</v>
      </c>
      <c r="E43" s="28">
        <f t="shared" si="3"/>
        <v>4103</v>
      </c>
      <c r="F43" s="28">
        <v>0</v>
      </c>
      <c r="G43" s="28">
        <f>20</f>
        <v>20</v>
      </c>
      <c r="H43" s="28">
        <f t="shared" si="0"/>
        <v>20</v>
      </c>
      <c r="I43" s="28">
        <f t="shared" si="4"/>
        <v>540</v>
      </c>
      <c r="J43" s="28">
        <v>40</v>
      </c>
      <c r="K43" s="28">
        <v>0</v>
      </c>
      <c r="L43" s="29">
        <f t="shared" si="1"/>
        <v>40</v>
      </c>
      <c r="N43" s="32">
        <f t="shared" si="5"/>
        <v>4643</v>
      </c>
    </row>
    <row r="44" spans="1:14" ht="15" customHeight="1" x14ac:dyDescent="0.35">
      <c r="A44" s="2">
        <v>31</v>
      </c>
      <c r="B44" s="28">
        <v>0</v>
      </c>
      <c r="C44" s="28">
        <v>2</v>
      </c>
      <c r="D44" s="28">
        <f t="shared" si="2"/>
        <v>52</v>
      </c>
      <c r="E44" s="28">
        <f t="shared" si="3"/>
        <v>3913</v>
      </c>
      <c r="F44" s="28">
        <f>-40-40-30-40-40</f>
        <v>-190</v>
      </c>
      <c r="G44" s="28">
        <v>0</v>
      </c>
      <c r="H44" s="28">
        <f t="shared" si="0"/>
        <v>-190</v>
      </c>
      <c r="I44" s="28">
        <f t="shared" si="4"/>
        <v>460</v>
      </c>
      <c r="J44" s="28">
        <f>-40-40</f>
        <v>-80</v>
      </c>
      <c r="K44" s="28">
        <v>0</v>
      </c>
      <c r="L44" s="29">
        <f t="shared" si="1"/>
        <v>-80</v>
      </c>
      <c r="N44" s="32">
        <f t="shared" si="5"/>
        <v>4373</v>
      </c>
    </row>
    <row r="45" spans="1:14" ht="15" customHeight="1" x14ac:dyDescent="0.35">
      <c r="A45" s="2" t="s">
        <v>39</v>
      </c>
      <c r="B45" s="28">
        <v>0</v>
      </c>
      <c r="C45" s="28">
        <v>0</v>
      </c>
      <c r="D45" s="28">
        <f t="shared" si="2"/>
        <v>52</v>
      </c>
      <c r="E45" s="28">
        <f t="shared" si="3"/>
        <v>3893</v>
      </c>
      <c r="F45" s="28">
        <f>-40+5+20-5+40-40</f>
        <v>-20</v>
      </c>
      <c r="G45" s="28">
        <v>0</v>
      </c>
      <c r="H45" s="28">
        <f t="shared" si="0"/>
        <v>-20</v>
      </c>
      <c r="I45" s="28">
        <f t="shared" si="4"/>
        <v>460</v>
      </c>
      <c r="J45" s="28">
        <f>-40+40</f>
        <v>0</v>
      </c>
      <c r="K45" s="28">
        <v>0</v>
      </c>
      <c r="L45" s="29">
        <f t="shared" si="1"/>
        <v>0</v>
      </c>
      <c r="N45" s="32">
        <f t="shared" si="5"/>
        <v>4353</v>
      </c>
    </row>
    <row r="46" spans="1:14" ht="15" customHeight="1" x14ac:dyDescent="0.35">
      <c r="A46" s="2">
        <v>3</v>
      </c>
      <c r="B46" s="28">
        <v>0</v>
      </c>
      <c r="C46" s="28">
        <v>0</v>
      </c>
      <c r="D46" s="28">
        <f t="shared" si="2"/>
        <v>52</v>
      </c>
      <c r="E46" s="28">
        <f t="shared" si="3"/>
        <v>3873</v>
      </c>
      <c r="F46" s="28">
        <f>-60+40</f>
        <v>-20</v>
      </c>
      <c r="G46" s="28">
        <v>0</v>
      </c>
      <c r="H46" s="28">
        <f t="shared" si="0"/>
        <v>-20</v>
      </c>
      <c r="I46" s="28">
        <f t="shared" si="4"/>
        <v>420</v>
      </c>
      <c r="J46" s="28">
        <f>-40</f>
        <v>-40</v>
      </c>
      <c r="K46" s="28">
        <v>0</v>
      </c>
      <c r="L46" s="29">
        <f t="shared" si="1"/>
        <v>-40</v>
      </c>
      <c r="N46" s="32">
        <f t="shared" si="5"/>
        <v>4293</v>
      </c>
    </row>
    <row r="47" spans="1:14" ht="15" customHeight="1" x14ac:dyDescent="0.35">
      <c r="A47" s="2">
        <v>4</v>
      </c>
      <c r="B47" s="28">
        <v>0</v>
      </c>
      <c r="C47" s="28">
        <v>1</v>
      </c>
      <c r="D47" s="28">
        <f t="shared" ref="D47" si="6">D46+B47-C47</f>
        <v>51</v>
      </c>
      <c r="E47" s="28">
        <f t="shared" ref="E47" si="7">E46+F47+G47</f>
        <v>3833</v>
      </c>
      <c r="F47" s="28">
        <f>-40</f>
        <v>-40</v>
      </c>
      <c r="G47" s="28">
        <v>0</v>
      </c>
      <c r="H47" s="28">
        <f t="shared" ref="H47" si="8">SUM(F47:G47)</f>
        <v>-40</v>
      </c>
      <c r="I47" s="28">
        <f t="shared" ref="I47" si="9">I46+J47+K47</f>
        <v>440</v>
      </c>
      <c r="J47" s="28">
        <f>-20+40</f>
        <v>20</v>
      </c>
      <c r="K47" s="28">
        <v>0</v>
      </c>
      <c r="L47" s="29">
        <f t="shared" ref="L47" si="10">SUM(J47:K47)</f>
        <v>20</v>
      </c>
      <c r="N47" s="32">
        <f t="shared" si="5"/>
        <v>4273</v>
      </c>
    </row>
    <row r="48" spans="1:14" ht="15" customHeight="1" x14ac:dyDescent="0.35">
      <c r="A48" s="2">
        <v>5</v>
      </c>
      <c r="B48" s="28">
        <v>0</v>
      </c>
      <c r="C48" s="28">
        <v>2</v>
      </c>
      <c r="D48" s="28">
        <f t="shared" ref="D48" si="11">D47+B48-C48</f>
        <v>49</v>
      </c>
      <c r="E48" s="28">
        <f t="shared" ref="E48" si="12">E47+F48+G48</f>
        <v>3578</v>
      </c>
      <c r="F48" s="28">
        <f>-70-80+40-80-40+15-80+40</f>
        <v>-255</v>
      </c>
      <c r="G48" s="28">
        <v>0</v>
      </c>
      <c r="H48" s="28">
        <f t="shared" ref="H48" si="13">SUM(F48:G48)</f>
        <v>-255</v>
      </c>
      <c r="I48" s="28">
        <f t="shared" ref="I48" si="14">I47+J48+K48</f>
        <v>390</v>
      </c>
      <c r="J48" s="28">
        <f>-5*2-40</f>
        <v>-50</v>
      </c>
      <c r="K48" s="28">
        <v>0</v>
      </c>
      <c r="L48" s="29">
        <f t="shared" ref="L48" si="15">SUM(J48:K48)</f>
        <v>-50</v>
      </c>
      <c r="N48" s="32">
        <f>E48+I48</f>
        <v>3968</v>
      </c>
    </row>
    <row r="49" spans="1:14" ht="15" customHeight="1" x14ac:dyDescent="0.35">
      <c r="A49" s="2">
        <v>6</v>
      </c>
      <c r="B49" s="28">
        <v>0</v>
      </c>
      <c r="C49" s="28">
        <v>1</v>
      </c>
      <c r="D49" s="28">
        <f t="shared" ref="D49" si="16">D48+B49-C49</f>
        <v>48</v>
      </c>
      <c r="E49" s="28">
        <f>E48+F49+G49</f>
        <v>3323</v>
      </c>
      <c r="F49" s="28">
        <f>-60-40-10-40+25-30-30-55-15-30+30</f>
        <v>-255</v>
      </c>
      <c r="G49" s="28">
        <v>0</v>
      </c>
      <c r="H49" s="28">
        <f>SUM(F49:G49)</f>
        <v>-255</v>
      </c>
      <c r="I49" s="28">
        <f>I48+J49+K49</f>
        <v>350</v>
      </c>
      <c r="J49" s="28">
        <f>-30-20-30+40</f>
        <v>-40</v>
      </c>
      <c r="K49" s="28">
        <v>0</v>
      </c>
      <c r="L49" s="29">
        <f t="shared" ref="L49" si="17">SUM(J49:K49)</f>
        <v>-40</v>
      </c>
      <c r="N49" s="32">
        <f>E49+I49</f>
        <v>3673</v>
      </c>
    </row>
    <row r="50" spans="1:14" ht="15" customHeight="1" x14ac:dyDescent="0.35">
      <c r="A50" s="2">
        <v>7</v>
      </c>
      <c r="B50" s="28">
        <v>1</v>
      </c>
      <c r="C50" s="28">
        <v>0</v>
      </c>
      <c r="D50" s="28">
        <f t="shared" ref="D50" si="18">D49+B50-C50</f>
        <v>49</v>
      </c>
      <c r="E50" s="28">
        <f>E49+F50+G50</f>
        <v>3244</v>
      </c>
      <c r="F50" s="28">
        <f>-10-80-9</f>
        <v>-99</v>
      </c>
      <c r="G50" s="28">
        <f>20</f>
        <v>20</v>
      </c>
      <c r="H50" s="28">
        <f>SUM(F50:G50)</f>
        <v>-79</v>
      </c>
      <c r="I50" s="28">
        <f>I49+J50+K50</f>
        <v>350</v>
      </c>
      <c r="J50" s="28">
        <v>0</v>
      </c>
      <c r="K50" s="28">
        <v>0</v>
      </c>
      <c r="L50" s="29">
        <f t="shared" ref="L50" si="19">SUM(J50:K50)</f>
        <v>0</v>
      </c>
      <c r="N50" s="32">
        <f>E50+I50</f>
        <v>3594</v>
      </c>
    </row>
    <row r="51" spans="1:14" ht="18.75" customHeight="1" x14ac:dyDescent="0.35">
      <c r="A51" s="58" t="s">
        <v>21</v>
      </c>
      <c r="B51" s="58"/>
      <c r="C51" s="58"/>
      <c r="D51" s="58"/>
      <c r="E51" s="58"/>
      <c r="F51" s="11"/>
      <c r="G51" s="57" t="s">
        <v>24</v>
      </c>
      <c r="H51" s="57"/>
      <c r="I51" s="57"/>
      <c r="J51" s="57"/>
      <c r="K51" s="57"/>
      <c r="L51" s="57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G51:L51"/>
    <mergeCell ref="A1:L1"/>
    <mergeCell ref="E4:L4"/>
    <mergeCell ref="F5:H5"/>
    <mergeCell ref="J5:L5"/>
    <mergeCell ref="A51:E51"/>
    <mergeCell ref="B4:D4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設置数</vt:lpstr>
      <vt:lpstr>北海道地区</vt:lpstr>
      <vt:lpstr>東北地区</vt:lpstr>
      <vt:lpstr>関東・甲信越地区</vt:lpstr>
      <vt:lpstr>東京地区</vt:lpstr>
      <vt:lpstr>東海・北陸地区</vt:lpstr>
      <vt:lpstr>近畿・中国・四国地区</vt:lpstr>
      <vt:lpstr>九州地区</vt:lpstr>
      <vt:lpstr>Sheet1</vt:lpstr>
      <vt:lpstr>Sheet2</vt:lpstr>
      <vt:lpstr>Sheet3</vt:lpstr>
      <vt:lpstr>関東・甲信越地区!Print_Area</vt:lpstr>
      <vt:lpstr>近畿・中国・四国地区!Print_Area</vt:lpstr>
      <vt:lpstr>九州地区!Print_Area</vt:lpstr>
      <vt:lpstr>設置数!Print_Area</vt:lpstr>
      <vt:lpstr>東海・北陸地区!Print_Area</vt:lpstr>
      <vt:lpstr>東京地区!Print_Area</vt:lpstr>
      <vt:lpstr>東北地区!Print_Area</vt:lpstr>
      <vt:lpstr>北海道地区!Print_Area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PC13</dc:creator>
  <cp:lastModifiedBy>有美子 平出</cp:lastModifiedBy>
  <cp:lastPrinted>2025-09-22T06:12:03Z</cp:lastPrinted>
  <dcterms:created xsi:type="dcterms:W3CDTF">2003-11-27T03:17:56Z</dcterms:created>
  <dcterms:modified xsi:type="dcterms:W3CDTF">2025-09-22T06:25:05Z</dcterms:modified>
</cp:coreProperties>
</file>